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walshaw-my.sharepoint.com/personal/revsteph_ccwalshaw_onmicrosoft_com/Documents/St Andrew's Radcliffe/Accounts/"/>
    </mc:Choice>
  </mc:AlternateContent>
  <xr:revisionPtr revIDLastSave="6" documentId="8_{4C2CD042-1443-4D9A-9148-99C387B11046}" xr6:coauthVersionLast="47" xr6:coauthVersionMax="47" xr10:uidLastSave="{D6C3A4BC-B024-428C-9857-0643E6DE2B7B}"/>
  <bookViews>
    <workbookView xWindow="-120" yWindow="-120" windowWidth="29040" windowHeight="15720" tabRatio="770" xr2:uid="{00000000-000D-0000-FFFF-FFFF00000000}"/>
  </bookViews>
  <sheets>
    <sheet name="Funds General Summary" sheetId="1" r:id="rId1"/>
    <sheet name="Church Receipts and Payments" sheetId="2" r:id="rId2"/>
    <sheet name="CAP Job Club Receipts and Paym" sheetId="8" r:id="rId3"/>
    <sheet name="Balance Sheet" sheetId="3" r:id="rId4"/>
    <sheet name="Church Investments" sheetId="4" r:id="rId5"/>
  </sheets>
  <externalReferences>
    <externalReference r:id="rId6"/>
    <externalReference r:id="rId7"/>
    <externalReference r:id="rId8"/>
  </externalReferences>
  <definedNames>
    <definedName name="_xlnm.Print_Area" localSheetId="3">'Balance Sheet'!$A$1:$I$72</definedName>
    <definedName name="_xlnm.Print_Area" localSheetId="2">'CAP Job Club Receipts and Paym'!$A$1:$H$44</definedName>
    <definedName name="_xlnm.Print_Area" localSheetId="1">'Church Receipts and Payments'!$A$1:$M$103</definedName>
    <definedName name="_xlnm.Print_Area" localSheetId="0">'Funds General Summary'!$A$1:$H$43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B34" i="2"/>
  <c r="B53" i="2"/>
  <c r="B8" i="2"/>
  <c r="H14" i="4" l="1"/>
  <c r="F14" i="4"/>
  <c r="D14" i="4"/>
  <c r="G43" i="3"/>
  <c r="E40" i="3"/>
  <c r="C40" i="3"/>
  <c r="G31" i="3"/>
  <c r="G26" i="3"/>
  <c r="G25" i="3"/>
  <c r="E25" i="3"/>
  <c r="C25" i="3"/>
  <c r="G22" i="3"/>
  <c r="G21" i="3"/>
  <c r="G28" i="3" s="1"/>
  <c r="G32" i="3" s="1"/>
  <c r="E19" i="3" s="1"/>
  <c r="G17" i="3"/>
  <c r="E17" i="3"/>
  <c r="C17" i="3"/>
  <c r="G10" i="3"/>
  <c r="C10" i="3"/>
  <c r="G7" i="3"/>
  <c r="E35" i="8"/>
  <c r="C35" i="8"/>
  <c r="D41" i="1" s="1"/>
  <c r="G32" i="8"/>
  <c r="G31" i="8"/>
  <c r="G30" i="8"/>
  <c r="G29" i="8"/>
  <c r="G28" i="8"/>
  <c r="G27" i="8"/>
  <c r="G26" i="8"/>
  <c r="G24" i="8"/>
  <c r="G23" i="8"/>
  <c r="G22" i="8"/>
  <c r="G35" i="8" s="1"/>
  <c r="G21" i="8"/>
  <c r="G16" i="8"/>
  <c r="C18" i="8"/>
  <c r="G14" i="8"/>
  <c r="E14" i="8"/>
  <c r="G13" i="8"/>
  <c r="E13" i="8"/>
  <c r="E15" i="8" s="1"/>
  <c r="E18" i="8" s="1"/>
  <c r="E37" i="8" s="1"/>
  <c r="C13" i="8"/>
  <c r="G10" i="8"/>
  <c r="G9" i="8"/>
  <c r="E10" i="3"/>
  <c r="E11" i="3" s="1"/>
  <c r="C7" i="3" s="1"/>
  <c r="J92" i="2"/>
  <c r="F92" i="2"/>
  <c r="J91" i="2"/>
  <c r="F91" i="2"/>
  <c r="B91" i="2"/>
  <c r="C90" i="2" s="1"/>
  <c r="J88" i="2"/>
  <c r="K87" i="2" s="1"/>
  <c r="C87" i="2"/>
  <c r="G87" i="2"/>
  <c r="J86" i="2"/>
  <c r="K85" i="2" s="1"/>
  <c r="G85" i="2"/>
  <c r="C85" i="2"/>
  <c r="J84" i="2"/>
  <c r="F84" i="2"/>
  <c r="B84" i="2"/>
  <c r="C81" i="2" s="1"/>
  <c r="J83" i="2"/>
  <c r="J82" i="2"/>
  <c r="G81" i="2"/>
  <c r="J80" i="2"/>
  <c r="B80" i="2"/>
  <c r="J79" i="2"/>
  <c r="J78" i="2"/>
  <c r="J77" i="2"/>
  <c r="J76" i="2"/>
  <c r="F76" i="2"/>
  <c r="G71" i="2" s="1"/>
  <c r="B76" i="2"/>
  <c r="C71" i="2" s="1"/>
  <c r="J75" i="2"/>
  <c r="J74" i="2"/>
  <c r="J73" i="2"/>
  <c r="J72" i="2"/>
  <c r="J70" i="2"/>
  <c r="F70" i="2"/>
  <c r="G67" i="2" s="1"/>
  <c r="J69" i="2"/>
  <c r="J68" i="2"/>
  <c r="C67" i="2"/>
  <c r="J66" i="2"/>
  <c r="J65" i="2"/>
  <c r="J64" i="2"/>
  <c r="F64" i="2"/>
  <c r="J63" i="2"/>
  <c r="F63" i="2"/>
  <c r="B63" i="2"/>
  <c r="J62" i="2"/>
  <c r="F62" i="2"/>
  <c r="B62" i="2"/>
  <c r="J61" i="2"/>
  <c r="F61" i="2"/>
  <c r="B61" i="2"/>
  <c r="J59" i="2"/>
  <c r="F59" i="2"/>
  <c r="G56" i="2" s="1"/>
  <c r="B59" i="2"/>
  <c r="J57" i="2"/>
  <c r="F57" i="2"/>
  <c r="B57" i="2"/>
  <c r="J55" i="2"/>
  <c r="K54" i="2" s="1"/>
  <c r="F55" i="2"/>
  <c r="G54" i="2" s="1"/>
  <c r="B55" i="2"/>
  <c r="C54" i="2" s="1"/>
  <c r="J53" i="2"/>
  <c r="K51" i="2" s="1"/>
  <c r="G51" i="2"/>
  <c r="C51" i="2"/>
  <c r="J50" i="2"/>
  <c r="J46" i="2"/>
  <c r="H39" i="1" s="1"/>
  <c r="F46" i="2"/>
  <c r="B46" i="2"/>
  <c r="J43" i="2"/>
  <c r="F43" i="2"/>
  <c r="B43" i="2"/>
  <c r="J38" i="2"/>
  <c r="F38" i="2"/>
  <c r="B38" i="2"/>
  <c r="J37" i="2"/>
  <c r="F37" i="2"/>
  <c r="B37" i="2"/>
  <c r="J36" i="2"/>
  <c r="J34" i="2"/>
  <c r="J31" i="2"/>
  <c r="F31" i="2"/>
  <c r="B31" i="2"/>
  <c r="J29" i="2"/>
  <c r="F29" i="2"/>
  <c r="B29" i="2"/>
  <c r="J27" i="2"/>
  <c r="J26" i="2"/>
  <c r="F26" i="2"/>
  <c r="B26" i="2"/>
  <c r="J24" i="2"/>
  <c r="J23" i="2"/>
  <c r="J22" i="2"/>
  <c r="J21" i="2"/>
  <c r="J20" i="2"/>
  <c r="J19" i="2"/>
  <c r="G18" i="2"/>
  <c r="C18" i="2"/>
  <c r="J17" i="2"/>
  <c r="K16" i="2" s="1"/>
  <c r="G16" i="2"/>
  <c r="C16" i="2"/>
  <c r="J15" i="2"/>
  <c r="J14" i="2"/>
  <c r="J13" i="2"/>
  <c r="B12" i="2"/>
  <c r="J11" i="2"/>
  <c r="B11" i="2"/>
  <c r="J10" i="2"/>
  <c r="J9" i="2"/>
  <c r="B9" i="2"/>
  <c r="J7" i="2"/>
  <c r="G6" i="2"/>
  <c r="E42" i="1"/>
  <c r="H40" i="1"/>
  <c r="G40" i="1"/>
  <c r="C40" i="1"/>
  <c r="F34" i="1"/>
  <c r="F29" i="1"/>
  <c r="G26" i="1"/>
  <c r="G25" i="1"/>
  <c r="H24" i="1" s="1"/>
  <c r="H29" i="1" s="1"/>
  <c r="F24" i="1"/>
  <c r="D24" i="1"/>
  <c r="D29" i="1" s="1"/>
  <c r="D34" i="1" s="1"/>
  <c r="H22" i="1"/>
  <c r="F22" i="1"/>
  <c r="D22" i="1"/>
  <c r="F16" i="1"/>
  <c r="D16" i="1"/>
  <c r="G10" i="1"/>
  <c r="G9" i="1"/>
  <c r="H8" i="1" s="1"/>
  <c r="H16" i="1" s="1"/>
  <c r="H34" i="1" s="1"/>
  <c r="D8" i="1"/>
  <c r="G15" i="8" l="1"/>
  <c r="C25" i="2"/>
  <c r="K90" i="2"/>
  <c r="K25" i="2"/>
  <c r="K35" i="2"/>
  <c r="K56" i="2"/>
  <c r="K6" i="2"/>
  <c r="E28" i="3"/>
  <c r="E32" i="3" s="1"/>
  <c r="C19" i="3" s="1"/>
  <c r="C28" i="3" s="1"/>
  <c r="C32" i="3" s="1"/>
  <c r="C37" i="8"/>
  <c r="C41" i="3" s="1"/>
  <c r="C60" i="2"/>
  <c r="G35" i="2"/>
  <c r="C56" i="2"/>
  <c r="G90" i="2"/>
  <c r="C6" i="2"/>
  <c r="C40" i="2" s="1"/>
  <c r="C39" i="1" s="1"/>
  <c r="C42" i="1" s="1"/>
  <c r="C35" i="2"/>
  <c r="K67" i="2"/>
  <c r="K93" i="2" s="1"/>
  <c r="K71" i="2"/>
  <c r="G39" i="1"/>
  <c r="K81" i="2"/>
  <c r="K45" i="2"/>
  <c r="K18" i="2"/>
  <c r="K40" i="2" s="1"/>
  <c r="K94" i="2" s="1"/>
  <c r="K60" i="2"/>
  <c r="G25" i="2"/>
  <c r="G40" i="2" s="1"/>
  <c r="G94" i="2" s="1"/>
  <c r="G60" i="2"/>
  <c r="G93" i="2" s="1"/>
  <c r="G41" i="1"/>
  <c r="G18" i="8"/>
  <c r="G37" i="8" s="1"/>
  <c r="F37" i="8" s="1"/>
  <c r="H41" i="1"/>
  <c r="H42" i="1" s="1"/>
  <c r="F41" i="1"/>
  <c r="F42" i="1" s="1"/>
  <c r="E41" i="3"/>
  <c r="E43" i="3" s="1"/>
  <c r="C39" i="3" s="1"/>
  <c r="D37" i="8"/>
  <c r="C93" i="2" l="1"/>
  <c r="D39" i="1" s="1"/>
  <c r="D42" i="1" s="1"/>
  <c r="G42" i="1"/>
  <c r="B37" i="8"/>
  <c r="C43" i="3"/>
  <c r="G95" i="2"/>
  <c r="F95" i="2" s="1"/>
  <c r="C94" i="2"/>
  <c r="C95" i="2" s="1"/>
  <c r="K95" i="2"/>
  <c r="B95" i="2" l="1"/>
  <c r="C9" i="3"/>
  <c r="C11" i="3" s="1"/>
  <c r="G9" i="3"/>
  <c r="G11" i="3" s="1"/>
  <c r="J95" i="2"/>
</calcChain>
</file>

<file path=xl/sharedStrings.xml><?xml version="1.0" encoding="utf-8"?>
<sst xmlns="http://schemas.openxmlformats.org/spreadsheetml/2006/main" count="224" uniqueCount="172">
  <si>
    <t>Saint Andrew,  Radcliffe</t>
  </si>
  <si>
    <t>Funds - General Summary</t>
  </si>
  <si>
    <t>for the year ended 31 December 2025</t>
  </si>
  <si>
    <t>£</t>
  </si>
  <si>
    <t>Unrestricted Funds</t>
  </si>
  <si>
    <t>General Fund</t>
  </si>
  <si>
    <t>Current Account</t>
  </si>
  <si>
    <t>Deposit Account</t>
  </si>
  <si>
    <t>Cash</t>
  </si>
  <si>
    <t>Plus cheques received not yet banked</t>
  </si>
  <si>
    <t>Less Cheques issued not yet banked</t>
  </si>
  <si>
    <t>Less Outstanding Invoices/Commitments</t>
  </si>
  <si>
    <t>Total Unrestricted Funds</t>
  </si>
  <si>
    <t>Restricted Funds</t>
  </si>
  <si>
    <t>Central Board of Finance Fixed Interest Securities:-   Income Generating</t>
  </si>
  <si>
    <t>Building Fund</t>
  </si>
  <si>
    <t>Total Restricted Funds excluding CAP Job Club</t>
  </si>
  <si>
    <t>St Andrew's CAP Job Club</t>
  </si>
  <si>
    <t>Bank account</t>
  </si>
  <si>
    <t>Less Outstanding Cheques</t>
  </si>
  <si>
    <t>Total Restricted Funds</t>
  </si>
  <si>
    <t>Designated Fund</t>
  </si>
  <si>
    <t>Central Board of Finance - Roof Fund Account</t>
  </si>
  <si>
    <t>Total Net Assets</t>
  </si>
  <si>
    <t>Total Income and Expenditure</t>
  </si>
  <si>
    <t>Income</t>
  </si>
  <si>
    <t>Expenditure</t>
  </si>
  <si>
    <t>CAP Job Club</t>
  </si>
  <si>
    <t>Totals</t>
  </si>
  <si>
    <t>Note - These figures exclude transfers between funds and capital growth of investments</t>
  </si>
  <si>
    <t>Financial statement for the Year Ending 31 December 2025</t>
  </si>
  <si>
    <t>General Fund Receipts and Payments Account</t>
  </si>
  <si>
    <t>INCOME</t>
  </si>
  <si>
    <t>Direct Giving</t>
  </si>
  <si>
    <t>Gift Aided planned giving</t>
  </si>
  <si>
    <t>Income Tax Recovered</t>
  </si>
  <si>
    <t>non-Gift Aided planned giving</t>
  </si>
  <si>
    <t>Payroll Giving</t>
  </si>
  <si>
    <t>Collections at Services</t>
  </si>
  <si>
    <t>Other Services and General Gifts (including Oasis and Wiggle)</t>
  </si>
  <si>
    <t>SumUp Credit/Debit Card Gifts</t>
  </si>
  <si>
    <t>On-line Gifts</t>
  </si>
  <si>
    <t>Gifts and Collections for Particular Causes</t>
  </si>
  <si>
    <t>Investment Income</t>
  </si>
  <si>
    <t>Dividends &amp; Interest</t>
  </si>
  <si>
    <t>Events &amp; Activities</t>
  </si>
  <si>
    <t>Bible Notes</t>
  </si>
  <si>
    <t>Fund Raising events</t>
  </si>
  <si>
    <t>Payments for New Wine fees</t>
  </si>
  <si>
    <t>Parochial Fees due to Parish</t>
  </si>
  <si>
    <t>Parochial Fees due to the Diocese</t>
  </si>
  <si>
    <t>Collections by Other Organisations at Church</t>
  </si>
  <si>
    <t>Other Income</t>
  </si>
  <si>
    <t>Legacies and Grants</t>
  </si>
  <si>
    <t>Utility Bills Refunds</t>
  </si>
  <si>
    <t>Donations towards Vicarage Expenses</t>
  </si>
  <si>
    <t>Donations for Refreshments &amp; Event Food</t>
  </si>
  <si>
    <t>None charitable trading</t>
  </si>
  <si>
    <t>Loan short-term cash flow</t>
  </si>
  <si>
    <t>Other income</t>
  </si>
  <si>
    <t>Funds Transfer</t>
  </si>
  <si>
    <t xml:space="preserve">Transfer from Building Fund </t>
  </si>
  <si>
    <t>Transfer from Harry Taylor Account (discretionary fund)</t>
  </si>
  <si>
    <t>Transfer from CAP job club</t>
  </si>
  <si>
    <t>Transfer from Investments</t>
  </si>
  <si>
    <t>Total Income</t>
  </si>
  <si>
    <t>PAYMENTS</t>
  </si>
  <si>
    <t>Mission and Charitable Giving</t>
  </si>
  <si>
    <t>Overseas Missionary Societies</t>
  </si>
  <si>
    <t>Home Mission &amp; Church Societies</t>
  </si>
  <si>
    <t>Antiock Network</t>
  </si>
  <si>
    <t>From Collections and Donations for Specified Causes</t>
  </si>
  <si>
    <t>Vicar &amp; Church Wardens Discretionery Fund</t>
  </si>
  <si>
    <t>Relating to work of the Church</t>
  </si>
  <si>
    <t>Interest free short term cash flow loan</t>
  </si>
  <si>
    <t>Parish Share</t>
  </si>
  <si>
    <t>Salaries and Honoraria</t>
  </si>
  <si>
    <t>Payments for Staff other than the vicar</t>
  </si>
  <si>
    <t>Clergy &amp; Other Ministry Expenses</t>
  </si>
  <si>
    <t>Incumbents Working Expenses</t>
  </si>
  <si>
    <t>OLM</t>
  </si>
  <si>
    <t>Assistant Staff &amp; Visiting clergy</t>
  </si>
  <si>
    <t>Mission and Evangelism Costs</t>
  </si>
  <si>
    <t>Alpha / Life Worth Living</t>
  </si>
  <si>
    <t>Wiggle</t>
  </si>
  <si>
    <t>Support &amp; Educational Costs</t>
  </si>
  <si>
    <t>Church Mission (Including CAP expenses)</t>
  </si>
  <si>
    <t>New wine personal costs</t>
  </si>
  <si>
    <t>New wine</t>
  </si>
  <si>
    <t>Church Activities and Groups</t>
  </si>
  <si>
    <t>Upkeep of Services</t>
  </si>
  <si>
    <t>Refreshments &amp; Event Food</t>
  </si>
  <si>
    <t>Youth and Children's Church Groups</t>
  </si>
  <si>
    <t>Church running Expenses</t>
  </si>
  <si>
    <t>Heating, Lighting, Utility</t>
  </si>
  <si>
    <t>Cleaning</t>
  </si>
  <si>
    <t>Insurance</t>
  </si>
  <si>
    <t>Maintenance</t>
  </si>
  <si>
    <t>Publicity</t>
  </si>
  <si>
    <t>Administration &amp; Professional Costs</t>
  </si>
  <si>
    <t>Upkeep of Churchyard</t>
  </si>
  <si>
    <t>Live streaming tech</t>
  </si>
  <si>
    <t>Others</t>
  </si>
  <si>
    <t>Cost relating to Trading</t>
  </si>
  <si>
    <t>Wedding fees etc to Diocese</t>
  </si>
  <si>
    <t>Governance</t>
  </si>
  <si>
    <t>Major Capital Expenditure</t>
  </si>
  <si>
    <t>Church Building</t>
  </si>
  <si>
    <t>Church Hall</t>
  </si>
  <si>
    <t>Loans and Transfers of money</t>
  </si>
  <si>
    <t xml:space="preserve">Transfer to Building Fund </t>
  </si>
  <si>
    <t>Transfer to CAP Job Club Account</t>
  </si>
  <si>
    <t>Total Expenditure</t>
  </si>
  <si>
    <t xml:space="preserve"> </t>
  </si>
  <si>
    <t>Surplus / Deficit</t>
  </si>
  <si>
    <t>St Andrews Radcliffe PCC</t>
  </si>
  <si>
    <t>Income and Expenditure</t>
  </si>
  <si>
    <t>Standing orders</t>
  </si>
  <si>
    <t>Other Donations</t>
  </si>
  <si>
    <t>Refund from CAP</t>
  </si>
  <si>
    <t>Refund of bank charges</t>
  </si>
  <si>
    <t>Fund-raising Income</t>
  </si>
  <si>
    <t>Net Income</t>
  </si>
  <si>
    <t>Transfer - support from Church PCC</t>
  </si>
  <si>
    <t>Transfer from General Fund - Other gifts less expenses</t>
  </si>
  <si>
    <t>Wages (from 8th October 2019)</t>
  </si>
  <si>
    <t>HMRC</t>
  </si>
  <si>
    <t>NEST  Pensions</t>
  </si>
  <si>
    <t>Manager's personal expenses</t>
  </si>
  <si>
    <t>Bank charges</t>
  </si>
  <si>
    <t>Admin Resources</t>
  </si>
  <si>
    <t xml:space="preserve">Refreshments </t>
  </si>
  <si>
    <t>Events</t>
  </si>
  <si>
    <t>Training and Regulations</t>
  </si>
  <si>
    <t>Room Hire</t>
  </si>
  <si>
    <t>CAP head office</t>
  </si>
  <si>
    <t>Transfer to Antioch</t>
  </si>
  <si>
    <t>Other Expenditure</t>
  </si>
  <si>
    <t>Outstanding Liabilities</t>
  </si>
  <si>
    <t>Outstanding invoices / commitments</t>
  </si>
  <si>
    <t>Balance Sheet</t>
  </si>
  <si>
    <t xml:space="preserve">St Andrew's General Fund </t>
  </si>
  <si>
    <t>Balance Brought Forward (from the previous year)</t>
  </si>
  <si>
    <t>Add back outstanding invoices from previous balance sheet</t>
  </si>
  <si>
    <t xml:space="preserve">Annual Surplus / Deficit </t>
  </si>
  <si>
    <t>Less Outstanding invoices/commitments at end of year</t>
  </si>
  <si>
    <t>Balance carried forward</t>
  </si>
  <si>
    <t xml:space="preserve">Building Fund Account - Receipts and Payments </t>
  </si>
  <si>
    <t>for the year ended 31 December</t>
  </si>
  <si>
    <t>(This is a Restricted Fund)</t>
  </si>
  <si>
    <t>Gift envelopes</t>
  </si>
  <si>
    <t>Donations by Standing Order</t>
  </si>
  <si>
    <t>Donations from Bookstall</t>
  </si>
  <si>
    <t>Craft Sales and other fund-raising</t>
  </si>
  <si>
    <t>Gift Day and Other Donations</t>
  </si>
  <si>
    <t>Bank Interest</t>
  </si>
  <si>
    <t>Transfers from General Fund</t>
  </si>
  <si>
    <t>Transferred to General Fund</t>
  </si>
  <si>
    <t>Operating Surplus (Deficit) for the year</t>
  </si>
  <si>
    <t>Less Outstanding invoices  at end of year</t>
  </si>
  <si>
    <t>Summary of Investments (Legacies and other accounts)</t>
  </si>
  <si>
    <t>Invested with the Central Board of Finance</t>
  </si>
  <si>
    <t>Roof Fund Account (an unrestricted fund)</t>
  </si>
  <si>
    <t>124001633D</t>
  </si>
  <si>
    <t>B14742 Radcliffe PCC Roof Fund Account</t>
  </si>
  <si>
    <t>Other Fixed Interest Accounts (income generating) Restricted Funds</t>
  </si>
  <si>
    <t>124001392F</t>
  </si>
  <si>
    <t>Consolidated (H Rothwell) General Purposes</t>
  </si>
  <si>
    <t>Parish Share 2024 overpayment</t>
  </si>
  <si>
    <t>Parish Share encouragement scheme</t>
  </si>
  <si>
    <t>for the year ending 31st December 2025</t>
  </si>
  <si>
    <t>Building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</si>
</sst>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* #,##0.00_-;\-* #,##0.00_-;_-* \-??_-;_-@_-"/>
    <numFmt numFmtId="167" formatCode="&quot;£&quot;#,##0.00"/>
    <numFmt numFmtId="168" formatCode="_(* #,##0_);_(* \(#,##0\);_(* &quot;-&quot;??_);_(@_)"/>
    <numFmt numFmtId="169" formatCode="_-* #,##0_-;\-* #,##0_-;_-* &quot;-&quot;??_-;_-@_-"/>
    <numFmt numFmtId="170" formatCode="_(&quot;£&quot;* #,##0_);_(&quot;£&quot;* \(#,##0\);_(&quot;£&quot;* &quot;-&quot;??_);_(@_)"/>
    <numFmt numFmtId="171" formatCode="_-&quot;£&quot;* #,##0_-;\-&quot;£&quot;* #,##0_-;_-&quot;£&quot;* &quot;-&quot;??_-;_-@_-"/>
  </numFmts>
  <fonts count="39">
    <font>
      <sz val="11"/>
      <color theme="1"/>
      <name val="Calibri"/>
      <charset val="134"/>
      <scheme val="minor"/>
    </font>
    <font>
      <b/>
      <sz val="20"/>
      <name val="Calibri"/>
      <charset val="134"/>
      <scheme val="minor"/>
    </font>
    <font>
      <b/>
      <sz val="14"/>
      <name val="Arial"/>
      <charset val="134"/>
    </font>
    <font>
      <b/>
      <sz val="14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2"/>
      <name val="Arial"/>
      <charset val="134"/>
    </font>
    <font>
      <b/>
      <sz val="16"/>
      <name val="Arial"/>
      <charset val="134"/>
    </font>
    <font>
      <sz val="12"/>
      <name val="Arial"/>
      <charset val="134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C00000"/>
      <name val="Calibri"/>
      <charset val="134"/>
      <scheme val="minor"/>
    </font>
    <font>
      <b/>
      <sz val="14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i/>
      <sz val="10"/>
      <color rgb="FFC00000"/>
      <name val="Arial"/>
      <charset val="134"/>
    </font>
    <font>
      <sz val="11"/>
      <name val="Arial"/>
      <charset val="134"/>
    </font>
    <font>
      <i/>
      <sz val="8"/>
      <color rgb="FFC00000"/>
      <name val="Arial"/>
      <charset val="134"/>
    </font>
    <font>
      <b/>
      <sz val="12"/>
      <name val="Calibri"/>
      <charset val="134"/>
      <scheme val="minor"/>
    </font>
    <font>
      <b/>
      <sz val="18"/>
      <name val="Calibri"/>
      <charset val="134"/>
      <scheme val="minor"/>
    </font>
    <font>
      <sz val="18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</font>
    <font>
      <sz val="12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sz val="12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theme="1"/>
      <name val="Calibri"/>
      <charset val="134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C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auto="1"/>
      </left>
      <right style="hair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auto="1"/>
      </left>
      <right style="hair">
        <color auto="1"/>
      </right>
      <top/>
      <bottom style="hair">
        <color theme="0" tint="-0.14996795556505021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 style="thin">
        <color theme="1"/>
      </bottom>
      <diagonal/>
    </border>
    <border>
      <left style="hair">
        <color auto="1"/>
      </left>
      <right style="hair">
        <color auto="1"/>
      </right>
      <top/>
      <bottom style="thin">
        <color theme="1"/>
      </bottom>
      <diagonal/>
    </border>
    <border>
      <left style="hair">
        <color auto="1"/>
      </left>
      <right style="hair">
        <color theme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auto="1"/>
      </right>
      <top/>
      <bottom style="thin">
        <color theme="1"/>
      </bottom>
      <diagonal/>
    </border>
    <border>
      <left/>
      <right style="hair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theme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hair">
        <color auto="1"/>
      </left>
      <right style="hair">
        <color theme="1"/>
      </right>
      <top style="thin">
        <color auto="1"/>
      </top>
      <bottom style="thin">
        <color theme="1"/>
      </bottom>
      <diagonal/>
    </border>
    <border>
      <left/>
      <right style="hair">
        <color auto="1"/>
      </right>
      <top style="thin">
        <color auto="1"/>
      </top>
      <bottom style="thin">
        <color theme="1"/>
      </bottom>
      <diagonal/>
    </border>
    <border>
      <left style="hair">
        <color auto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thin">
        <color auto="1"/>
      </top>
      <bottom style="double">
        <color auto="1"/>
      </bottom>
      <diagonal/>
    </border>
    <border>
      <left/>
      <right style="hair">
        <color theme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hair">
        <color theme="0" tint="-0.1499679555650502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theme="1"/>
      </left>
      <right style="hair">
        <color theme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theme="1"/>
      </right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 style="hair">
        <color theme="1"/>
      </left>
      <right style="hair">
        <color theme="1"/>
      </right>
      <top/>
      <bottom style="dotted">
        <color auto="1"/>
      </bottom>
      <diagonal/>
    </border>
    <border>
      <left style="hair">
        <color theme="1"/>
      </left>
      <right/>
      <top style="dotted">
        <color auto="1"/>
      </top>
      <bottom style="double">
        <color auto="1"/>
      </bottom>
      <diagonal/>
    </border>
    <border>
      <left/>
      <right style="hair">
        <color theme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theme="1"/>
      </left>
      <right style="hair">
        <color theme="1"/>
      </right>
      <top style="double">
        <color auto="1"/>
      </top>
      <bottom/>
      <diagonal/>
    </border>
    <border>
      <left/>
      <right style="hair">
        <color theme="1"/>
      </right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double">
        <color theme="1"/>
      </bottom>
      <diagonal/>
    </border>
    <border>
      <left/>
      <right style="hair">
        <color theme="1"/>
      </right>
      <top style="thin">
        <color auto="1"/>
      </top>
      <bottom style="double">
        <color theme="1"/>
      </bottom>
      <diagonal/>
    </border>
    <border>
      <left style="dash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</borders>
  <cellStyleXfs count="8">
    <xf numFmtId="0" fontId="0" fillId="0" borderId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</cellStyleXfs>
  <cellXfs count="27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6" fillId="2" borderId="0" xfId="0" applyFont="1" applyFill="1"/>
    <xf numFmtId="0" fontId="4" fillId="0" borderId="0" xfId="0" applyFont="1" applyAlignment="1">
      <alignment horizontal="center"/>
    </xf>
    <xf numFmtId="0" fontId="7" fillId="0" borderId="1" xfId="0" applyFont="1" applyBorder="1"/>
    <xf numFmtId="0" fontId="10" fillId="0" borderId="0" xfId="0" applyFont="1" applyAlignment="1">
      <alignment horizontal="center"/>
    </xf>
    <xf numFmtId="0" fontId="4" fillId="0" borderId="3" xfId="0" applyFont="1" applyBorder="1"/>
    <xf numFmtId="4" fontId="4" fillId="2" borderId="0" xfId="0" applyNumberFormat="1" applyFont="1" applyFill="1"/>
    <xf numFmtId="0" fontId="4" fillId="2" borderId="0" xfId="0" applyFont="1" applyFill="1"/>
    <xf numFmtId="3" fontId="4" fillId="0" borderId="0" xfId="0" applyNumberFormat="1" applyFont="1"/>
    <xf numFmtId="167" fontId="4" fillId="0" borderId="0" xfId="0" applyNumberFormat="1" applyFont="1"/>
    <xf numFmtId="0" fontId="5" fillId="0" borderId="3" xfId="0" applyFont="1" applyBorder="1" applyAlignment="1">
      <alignment horizontal="left"/>
    </xf>
    <xf numFmtId="4" fontId="8" fillId="0" borderId="1" xfId="0" applyNumberFormat="1" applyFont="1" applyBorder="1"/>
    <xf numFmtId="4" fontId="8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" fontId="4" fillId="0" borderId="0" xfId="0" applyNumberFormat="1" applyFont="1"/>
    <xf numFmtId="0" fontId="5" fillId="0" borderId="3" xfId="0" applyFont="1" applyBorder="1"/>
    <xf numFmtId="0" fontId="5" fillId="2" borderId="0" xfId="0" applyFont="1" applyFill="1"/>
    <xf numFmtId="0" fontId="5" fillId="0" borderId="0" xfId="0" applyFont="1"/>
    <xf numFmtId="0" fontId="4" fillId="0" borderId="3" xfId="0" applyFont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4" fontId="4" fillId="2" borderId="6" xfId="0" applyNumberFormat="1" applyFont="1" applyFill="1" applyBorder="1"/>
    <xf numFmtId="4" fontId="4" fillId="0" borderId="6" xfId="0" applyNumberFormat="1" applyFont="1" applyBorder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8" fontId="4" fillId="2" borderId="0" xfId="1" applyNumberFormat="1" applyFont="1" applyFill="1" applyAlignment="1">
      <alignment horizontal="right"/>
    </xf>
    <xf numFmtId="168" fontId="4" fillId="0" borderId="0" xfId="1" applyNumberFormat="1" applyFont="1" applyAlignment="1">
      <alignment horizontal="right"/>
    </xf>
    <xf numFmtId="4" fontId="5" fillId="2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0" fillId="0" borderId="3" xfId="0" applyBorder="1"/>
    <xf numFmtId="44" fontId="4" fillId="0" borderId="0" xfId="0" applyNumberFormat="1" applyFont="1"/>
    <xf numFmtId="4" fontId="5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" fontId="0" fillId="0" borderId="0" xfId="0" applyNumberFormat="1"/>
    <xf numFmtId="0" fontId="0" fillId="0" borderId="9" xfId="0" applyBorder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wrapText="1"/>
    </xf>
    <xf numFmtId="44" fontId="15" fillId="0" borderId="0" xfId="0" applyNumberFormat="1" applyFont="1" applyAlignment="1">
      <alignment horizontal="left" wrapText="1"/>
    </xf>
    <xf numFmtId="0" fontId="0" fillId="0" borderId="0" xfId="0" applyAlignment="1">
      <alignment vertical="center"/>
    </xf>
    <xf numFmtId="164" fontId="0" fillId="0" borderId="0" xfId="1" applyFont="1" applyAlignment="1">
      <alignment vertical="top" wrapText="1"/>
    </xf>
    <xf numFmtId="0" fontId="16" fillId="0" borderId="0" xfId="0" applyFont="1"/>
    <xf numFmtId="165" fontId="16" fillId="0" borderId="6" xfId="2" applyFont="1" applyBorder="1"/>
    <xf numFmtId="165" fontId="16" fillId="0" borderId="1" xfId="2" applyFont="1" applyBorder="1"/>
    <xf numFmtId="0" fontId="15" fillId="0" borderId="0" xfId="0" applyFont="1" applyAlignment="1">
      <alignment horizontal="left"/>
    </xf>
    <xf numFmtId="44" fontId="15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44" fontId="16" fillId="0" borderId="1" xfId="0" applyNumberFormat="1" applyFont="1" applyBorder="1"/>
    <xf numFmtId="0" fontId="12" fillId="0" borderId="0" xfId="0" applyFont="1"/>
    <xf numFmtId="0" fontId="15" fillId="0" borderId="0" xfId="0" applyFont="1"/>
    <xf numFmtId="165" fontId="17" fillId="0" borderId="0" xfId="0" applyNumberFormat="1" applyFont="1"/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167" fontId="0" fillId="0" borderId="0" xfId="0" applyNumberFormat="1"/>
    <xf numFmtId="0" fontId="0" fillId="0" borderId="0" xfId="0" applyAlignment="1">
      <alignment vertical="center" wrapText="1"/>
    </xf>
    <xf numFmtId="165" fontId="0" fillId="0" borderId="0" xfId="0" applyNumberFormat="1"/>
    <xf numFmtId="0" fontId="12" fillId="0" borderId="0" xfId="0" applyFont="1" applyAlignment="1">
      <alignment horizontal="left"/>
    </xf>
    <xf numFmtId="168" fontId="0" fillId="0" borderId="0" xfId="1" applyNumberFormat="1" applyFont="1"/>
    <xf numFmtId="0" fontId="19" fillId="0" borderId="0" xfId="0" applyFont="1"/>
    <xf numFmtId="168" fontId="19" fillId="0" borderId="0" xfId="1" applyNumberFormat="1" applyFont="1"/>
    <xf numFmtId="0" fontId="10" fillId="0" borderId="0" xfId="5" applyFont="1"/>
    <xf numFmtId="0" fontId="8" fillId="0" borderId="11" xfId="5" applyFont="1" applyBorder="1"/>
    <xf numFmtId="168" fontId="8" fillId="0" borderId="12" xfId="1" applyNumberFormat="1" applyFont="1" applyFill="1" applyBorder="1" applyAlignment="1" applyProtection="1"/>
    <xf numFmtId="3" fontId="5" fillId="0" borderId="13" xfId="3" applyNumberFormat="1" applyFont="1" applyBorder="1"/>
    <xf numFmtId="0" fontId="10" fillId="0" borderId="14" xfId="5" applyFont="1" applyBorder="1"/>
    <xf numFmtId="168" fontId="10" fillId="3" borderId="15" xfId="1" applyNumberFormat="1" applyFont="1" applyFill="1" applyBorder="1" applyAlignment="1" applyProtection="1"/>
    <xf numFmtId="0" fontId="10" fillId="0" borderId="15" xfId="5" applyFont="1" applyBorder="1"/>
    <xf numFmtId="168" fontId="10" fillId="0" borderId="15" xfId="1" applyNumberFormat="1" applyFont="1" applyFill="1" applyBorder="1" applyAlignment="1" applyProtection="1"/>
    <xf numFmtId="0" fontId="10" fillId="0" borderId="14" xfId="5" applyFont="1" applyBorder="1" applyAlignment="1">
      <alignment wrapText="1"/>
    </xf>
    <xf numFmtId="0" fontId="8" fillId="0" borderId="12" xfId="5" applyFont="1" applyBorder="1"/>
    <xf numFmtId="0" fontId="4" fillId="0" borderId="16" xfId="5" applyFont="1" applyBorder="1"/>
    <xf numFmtId="0" fontId="10" fillId="0" borderId="17" xfId="5" applyFont="1" applyBorder="1"/>
    <xf numFmtId="0" fontId="10" fillId="0" borderId="16" xfId="5" applyFont="1" applyBorder="1"/>
    <xf numFmtId="0" fontId="8" fillId="0" borderId="18" xfId="5" applyFont="1" applyBorder="1" applyAlignment="1">
      <alignment horizontal="right"/>
    </xf>
    <xf numFmtId="168" fontId="8" fillId="0" borderId="6" xfId="1" applyNumberFormat="1" applyFont="1" applyFill="1" applyBorder="1" applyAlignment="1" applyProtection="1">
      <alignment horizontal="right"/>
    </xf>
    <xf numFmtId="3" fontId="8" fillId="0" borderId="1" xfId="3" applyNumberFormat="1" applyFont="1" applyBorder="1"/>
    <xf numFmtId="3" fontId="8" fillId="0" borderId="6" xfId="3" applyNumberFormat="1" applyFont="1" applyBorder="1"/>
    <xf numFmtId="0" fontId="20" fillId="0" borderId="16" xfId="7" applyBorder="1"/>
    <xf numFmtId="168" fontId="20" fillId="0" borderId="10" xfId="1" applyNumberFormat="1" applyFont="1" applyFill="1" applyBorder="1" applyAlignment="1" applyProtection="1"/>
    <xf numFmtId="3" fontId="21" fillId="0" borderId="10" xfId="7" applyNumberFormat="1" applyFont="1" applyBorder="1"/>
    <xf numFmtId="0" fontId="20" fillId="0" borderId="10" xfId="7" applyBorder="1"/>
    <xf numFmtId="0" fontId="5" fillId="0" borderId="0" xfId="5" applyFont="1" applyAlignment="1">
      <alignment vertical="center"/>
    </xf>
    <xf numFmtId="0" fontId="20" fillId="0" borderId="10" xfId="5" applyBorder="1"/>
    <xf numFmtId="0" fontId="5" fillId="0" borderId="12" xfId="5" applyFont="1" applyBorder="1"/>
    <xf numFmtId="168" fontId="5" fillId="0" borderId="12" xfId="1" applyNumberFormat="1" applyFont="1" applyFill="1" applyBorder="1" applyAlignment="1" applyProtection="1"/>
    <xf numFmtId="168" fontId="5" fillId="0" borderId="13" xfId="1" applyNumberFormat="1" applyFont="1" applyFill="1" applyBorder="1" applyAlignment="1" applyProtection="1"/>
    <xf numFmtId="0" fontId="4" fillId="0" borderId="15" xfId="5" applyFont="1" applyBorder="1"/>
    <xf numFmtId="168" fontId="4" fillId="0" borderId="15" xfId="1" applyNumberFormat="1" applyFont="1" applyFill="1" applyBorder="1" applyAlignment="1" applyProtection="1"/>
    <xf numFmtId="0" fontId="22" fillId="0" borderId="15" xfId="5" applyFont="1" applyBorder="1"/>
    <xf numFmtId="168" fontId="4" fillId="0" borderId="16" xfId="1" applyNumberFormat="1" applyFont="1" applyFill="1" applyBorder="1" applyAlignment="1" applyProtection="1"/>
    <xf numFmtId="0" fontId="5" fillId="0" borderId="15" xfId="5" applyFont="1" applyBorder="1"/>
    <xf numFmtId="168" fontId="5" fillId="0" borderId="15" xfId="1" applyNumberFormat="1" applyFont="1" applyFill="1" applyBorder="1" applyAlignment="1" applyProtection="1"/>
    <xf numFmtId="168" fontId="5" fillId="0" borderId="19" xfId="1" applyNumberFormat="1" applyFont="1" applyFill="1" applyBorder="1" applyAlignment="1" applyProtection="1"/>
    <xf numFmtId="0" fontId="4" fillId="0" borderId="14" xfId="5" applyFont="1" applyBorder="1" applyAlignment="1">
      <alignment wrapText="1"/>
    </xf>
    <xf numFmtId="168" fontId="4" fillId="0" borderId="15" xfId="1" applyNumberFormat="1" applyFont="1" applyFill="1" applyBorder="1" applyAlignment="1" applyProtection="1">
      <alignment wrapText="1"/>
    </xf>
    <xf numFmtId="0" fontId="5" fillId="0" borderId="20" xfId="7" applyFont="1" applyBorder="1"/>
    <xf numFmtId="168" fontId="5" fillId="0" borderId="18" xfId="1" applyNumberFormat="1" applyFont="1" applyFill="1" applyBorder="1" applyAlignment="1" applyProtection="1"/>
    <xf numFmtId="168" fontId="5" fillId="0" borderId="21" xfId="1" applyNumberFormat="1" applyFont="1" applyFill="1" applyBorder="1" applyAlignment="1" applyProtection="1"/>
    <xf numFmtId="0" fontId="5" fillId="0" borderId="14" xfId="7" applyFont="1" applyBorder="1"/>
    <xf numFmtId="0" fontId="5" fillId="0" borderId="24" xfId="7" applyFont="1" applyBorder="1"/>
    <xf numFmtId="168" fontId="5" fillId="0" borderId="25" xfId="1" applyNumberFormat="1" applyFont="1" applyFill="1" applyBorder="1" applyAlignment="1" applyProtection="1"/>
    <xf numFmtId="0" fontId="0" fillId="0" borderId="15" xfId="0" applyBorder="1"/>
    <xf numFmtId="168" fontId="0" fillId="0" borderId="15" xfId="1" applyNumberFormat="1" applyFont="1" applyBorder="1"/>
    <xf numFmtId="0" fontId="7" fillId="0" borderId="15" xfId="0" applyFont="1" applyBorder="1" applyAlignment="1">
      <alignment vertical="center"/>
    </xf>
    <xf numFmtId="168" fontId="7" fillId="0" borderId="15" xfId="1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0" fontId="7" fillId="0" borderId="15" xfId="0" applyFont="1" applyBorder="1"/>
    <xf numFmtId="168" fontId="7" fillId="0" borderId="15" xfId="1" applyNumberFormat="1" applyFont="1" applyBorder="1"/>
    <xf numFmtId="0" fontId="26" fillId="0" borderId="0" xfId="0" applyFont="1" applyAlignment="1">
      <alignment horizontal="center"/>
    </xf>
    <xf numFmtId="0" fontId="18" fillId="0" borderId="0" xfId="0" applyFont="1"/>
    <xf numFmtId="44" fontId="18" fillId="0" borderId="28" xfId="0" applyNumberFormat="1" applyFont="1" applyBorder="1"/>
    <xf numFmtId="44" fontId="18" fillId="0" borderId="29" xfId="0" applyNumberFormat="1" applyFont="1" applyBorder="1"/>
    <xf numFmtId="0" fontId="18" fillId="0" borderId="28" xfId="0" applyFont="1" applyBorder="1"/>
    <xf numFmtId="0" fontId="18" fillId="0" borderId="29" xfId="0" applyFont="1" applyBorder="1"/>
    <xf numFmtId="44" fontId="19" fillId="0" borderId="28" xfId="0" applyNumberFormat="1" applyFont="1" applyBorder="1"/>
    <xf numFmtId="44" fontId="24" fillId="0" borderId="29" xfId="0" applyNumberFormat="1" applyFont="1" applyBorder="1"/>
    <xf numFmtId="0" fontId="20" fillId="0" borderId="0" xfId="0" applyFont="1" applyAlignment="1">
      <alignment horizontal="right"/>
    </xf>
    <xf numFmtId="44" fontId="20" fillId="0" borderId="28" xfId="0" applyNumberFormat="1" applyFont="1" applyBorder="1" applyAlignment="1">
      <alignment horizontal="right"/>
    </xf>
    <xf numFmtId="44" fontId="20" fillId="0" borderId="29" xfId="0" applyNumberFormat="1" applyFont="1" applyBorder="1" applyAlignment="1">
      <alignment horizontal="right"/>
    </xf>
    <xf numFmtId="0" fontId="27" fillId="0" borderId="0" xfId="0" applyFont="1" applyAlignment="1">
      <alignment wrapText="1"/>
    </xf>
    <xf numFmtId="0" fontId="19" fillId="0" borderId="0" xfId="0" applyFont="1" applyAlignment="1">
      <alignment wrapText="1"/>
    </xf>
    <xf numFmtId="44" fontId="19" fillId="0" borderId="28" xfId="0" applyNumberFormat="1" applyFont="1" applyBorder="1" applyAlignment="1">
      <alignment wrapText="1"/>
    </xf>
    <xf numFmtId="44" fontId="28" fillId="2" borderId="30" xfId="0" applyNumberFormat="1" applyFont="1" applyFill="1" applyBorder="1"/>
    <xf numFmtId="44" fontId="6" fillId="0" borderId="28" xfId="0" applyNumberFormat="1" applyFont="1" applyBorder="1"/>
    <xf numFmtId="44" fontId="29" fillId="2" borderId="30" xfId="0" applyNumberFormat="1" applyFont="1" applyFill="1" applyBorder="1"/>
    <xf numFmtId="0" fontId="24" fillId="0" borderId="31" xfId="0" applyFont="1" applyBorder="1"/>
    <xf numFmtId="44" fontId="24" fillId="0" borderId="32" xfId="0" applyNumberFormat="1" applyFont="1" applyBorder="1"/>
    <xf numFmtId="44" fontId="24" fillId="0" borderId="30" xfId="0" applyNumberFormat="1" applyFont="1" applyBorder="1"/>
    <xf numFmtId="0" fontId="19" fillId="0" borderId="33" xfId="0" applyFont="1" applyBorder="1" applyAlignment="1">
      <alignment wrapText="1"/>
    </xf>
    <xf numFmtId="44" fontId="19" fillId="0" borderId="34" xfId="0" applyNumberFormat="1" applyFont="1" applyBorder="1" applyAlignment="1">
      <alignment wrapText="1"/>
    </xf>
    <xf numFmtId="44" fontId="6" fillId="2" borderId="35" xfId="0" applyNumberFormat="1" applyFont="1" applyFill="1" applyBorder="1"/>
    <xf numFmtId="44" fontId="6" fillId="0" borderId="36" xfId="0" applyNumberFormat="1" applyFont="1" applyBorder="1"/>
    <xf numFmtId="0" fontId="30" fillId="0" borderId="33" xfId="0" applyFont="1" applyBorder="1" applyAlignment="1">
      <alignment wrapText="1"/>
    </xf>
    <xf numFmtId="44" fontId="6" fillId="2" borderId="37" xfId="0" applyNumberFormat="1" applyFont="1" applyFill="1" applyBorder="1"/>
    <xf numFmtId="44" fontId="6" fillId="2" borderId="38" xfId="0" applyNumberFormat="1" applyFont="1" applyFill="1" applyBorder="1"/>
    <xf numFmtId="0" fontId="19" fillId="0" borderId="39" xfId="0" applyFont="1" applyBorder="1" applyAlignment="1">
      <alignment wrapText="1"/>
    </xf>
    <xf numFmtId="44" fontId="19" fillId="0" borderId="40" xfId="0" applyNumberFormat="1" applyFont="1" applyBorder="1" applyAlignment="1">
      <alignment wrapText="1"/>
    </xf>
    <xf numFmtId="44" fontId="29" fillId="0" borderId="41" xfId="0" applyNumberFormat="1" applyFont="1" applyBorder="1"/>
    <xf numFmtId="44" fontId="29" fillId="2" borderId="41" xfId="0" applyNumberFormat="1" applyFont="1" applyFill="1" applyBorder="1"/>
    <xf numFmtId="44" fontId="6" fillId="0" borderId="40" xfId="0" applyNumberFormat="1" applyFont="1" applyBorder="1"/>
    <xf numFmtId="44" fontId="29" fillId="2" borderId="42" xfId="0" applyNumberFormat="1" applyFont="1" applyFill="1" applyBorder="1"/>
    <xf numFmtId="44" fontId="19" fillId="0" borderId="43" xfId="0" applyNumberFormat="1" applyFont="1" applyBorder="1" applyAlignment="1">
      <alignment wrapText="1"/>
    </xf>
    <xf numFmtId="44" fontId="31" fillId="0" borderId="44" xfId="0" applyNumberFormat="1" applyFont="1" applyBorder="1" applyAlignment="1">
      <alignment wrapText="1"/>
    </xf>
    <xf numFmtId="44" fontId="31" fillId="0" borderId="45" xfId="0" applyNumberFormat="1" applyFont="1" applyBorder="1" applyAlignment="1">
      <alignment wrapText="1"/>
    </xf>
    <xf numFmtId="0" fontId="19" fillId="0" borderId="46" xfId="0" applyFont="1" applyBorder="1" applyAlignment="1">
      <alignment horizontal="right" wrapText="1"/>
    </xf>
    <xf numFmtId="44" fontId="19" fillId="0" borderId="47" xfId="0" applyNumberFormat="1" applyFont="1" applyBorder="1" applyAlignment="1">
      <alignment horizontal="right" wrapText="1"/>
    </xf>
    <xf numFmtId="44" fontId="19" fillId="0" borderId="48" xfId="0" applyNumberFormat="1" applyFont="1" applyBorder="1" applyAlignment="1">
      <alignment horizontal="right" wrapText="1"/>
    </xf>
    <xf numFmtId="0" fontId="32" fillId="0" borderId="49" xfId="0" applyFont="1" applyBorder="1" applyAlignment="1">
      <alignment vertical="center" wrapText="1"/>
    </xf>
    <xf numFmtId="44" fontId="32" fillId="0" borderId="50" xfId="0" applyNumberFormat="1" applyFont="1" applyBorder="1" applyAlignment="1">
      <alignment vertical="center" wrapText="1"/>
    </xf>
    <xf numFmtId="44" fontId="24" fillId="0" borderId="51" xfId="0" applyNumberFormat="1" applyFont="1" applyBorder="1" applyAlignment="1">
      <alignment vertical="center" wrapText="1"/>
    </xf>
    <xf numFmtId="44" fontId="19" fillId="0" borderId="52" xfId="0" applyNumberFormat="1" applyFont="1" applyBorder="1"/>
    <xf numFmtId="44" fontId="19" fillId="0" borderId="29" xfId="0" applyNumberFormat="1" applyFont="1" applyBorder="1"/>
    <xf numFmtId="0" fontId="32" fillId="0" borderId="0" xfId="0" applyFont="1"/>
    <xf numFmtId="44" fontId="32" fillId="0" borderId="53" xfId="0" applyNumberFormat="1" applyFont="1" applyBorder="1"/>
    <xf numFmtId="44" fontId="24" fillId="0" borderId="54" xfId="0" applyNumberFormat="1" applyFont="1" applyBorder="1"/>
    <xf numFmtId="44" fontId="32" fillId="0" borderId="0" xfId="0" applyNumberFormat="1" applyFont="1"/>
    <xf numFmtId="44" fontId="20" fillId="0" borderId="55" xfId="0" applyNumberFormat="1" applyFont="1" applyBorder="1" applyAlignment="1">
      <alignment horizontal="right"/>
    </xf>
    <xf numFmtId="44" fontId="20" fillId="0" borderId="56" xfId="0" applyNumberFormat="1" applyFont="1" applyBorder="1" applyAlignment="1">
      <alignment horizontal="right"/>
    </xf>
    <xf numFmtId="44" fontId="20" fillId="0" borderId="0" xfId="0" applyNumberFormat="1" applyFont="1" applyAlignment="1">
      <alignment horizontal="right"/>
    </xf>
    <xf numFmtId="44" fontId="19" fillId="0" borderId="55" xfId="0" applyNumberFormat="1" applyFont="1" applyBorder="1"/>
    <xf numFmtId="44" fontId="19" fillId="0" borderId="56" xfId="0" applyNumberFormat="1" applyFont="1" applyBorder="1"/>
    <xf numFmtId="44" fontId="19" fillId="0" borderId="0" xfId="0" applyNumberFormat="1" applyFont="1"/>
    <xf numFmtId="0" fontId="24" fillId="0" borderId="1" xfId="0" applyFont="1" applyBorder="1"/>
    <xf numFmtId="44" fontId="24" fillId="0" borderId="57" xfId="0" applyNumberFormat="1" applyFont="1" applyBorder="1"/>
    <xf numFmtId="44" fontId="24" fillId="0" borderId="58" xfId="0" applyNumberFormat="1" applyFont="1" applyBorder="1"/>
    <xf numFmtId="44" fontId="24" fillId="0" borderId="1" xfId="0" applyNumberFormat="1" applyFont="1" applyBorder="1"/>
    <xf numFmtId="44" fontId="24" fillId="0" borderId="59" xfId="0" applyNumberFormat="1" applyFont="1" applyBorder="1"/>
    <xf numFmtId="0" fontId="24" fillId="0" borderId="0" xfId="0" applyFont="1"/>
    <xf numFmtId="44" fontId="24" fillId="0" borderId="55" xfId="0" applyNumberFormat="1" applyFont="1" applyBorder="1"/>
    <xf numFmtId="44" fontId="24" fillId="0" borderId="56" xfId="0" applyNumberFormat="1" applyFont="1" applyBorder="1"/>
    <xf numFmtId="44" fontId="24" fillId="0" borderId="0" xfId="0" applyNumberFormat="1" applyFont="1"/>
    <xf numFmtId="0" fontId="30" fillId="0" borderId="0" xfId="0" applyFont="1"/>
    <xf numFmtId="0" fontId="27" fillId="0" borderId="60" xfId="0" applyFont="1" applyBorder="1" applyAlignment="1">
      <alignment wrapText="1"/>
    </xf>
    <xf numFmtId="0" fontId="19" fillId="0" borderId="61" xfId="0" applyFont="1" applyBorder="1"/>
    <xf numFmtId="44" fontId="19" fillId="0" borderId="62" xfId="0" applyNumberFormat="1" applyFont="1" applyBorder="1"/>
    <xf numFmtId="44" fontId="33" fillId="2" borderId="63" xfId="0" applyNumberFormat="1" applyFont="1" applyFill="1" applyBorder="1"/>
    <xf numFmtId="44" fontId="19" fillId="0" borderId="61" xfId="0" applyNumberFormat="1" applyFont="1" applyBorder="1"/>
    <xf numFmtId="44" fontId="34" fillId="2" borderId="63" xfId="0" applyNumberFormat="1" applyFont="1" applyFill="1" applyBorder="1"/>
    <xf numFmtId="0" fontId="18" fillId="0" borderId="61" xfId="0" applyFont="1" applyBorder="1"/>
    <xf numFmtId="44" fontId="18" fillId="0" borderId="62" xfId="0" applyNumberFormat="1" applyFont="1" applyBorder="1"/>
    <xf numFmtId="44" fontId="18" fillId="0" borderId="64" xfId="0" applyNumberFormat="1" applyFont="1" applyBorder="1"/>
    <xf numFmtId="44" fontId="18" fillId="0" borderId="61" xfId="0" applyNumberFormat="1" applyFont="1" applyBorder="1"/>
    <xf numFmtId="44" fontId="18" fillId="0" borderId="65" xfId="0" applyNumberFormat="1" applyFont="1" applyBorder="1"/>
    <xf numFmtId="44" fontId="18" fillId="0" borderId="55" xfId="0" applyNumberFormat="1" applyFont="1" applyBorder="1"/>
    <xf numFmtId="44" fontId="18" fillId="0" borderId="56" xfId="0" applyNumberFormat="1" applyFont="1" applyBorder="1"/>
    <xf numFmtId="44" fontId="18" fillId="0" borderId="0" xfId="0" applyNumberFormat="1" applyFont="1"/>
    <xf numFmtId="44" fontId="0" fillId="0" borderId="66" xfId="0" applyNumberFormat="1" applyBorder="1"/>
    <xf numFmtId="44" fontId="0" fillId="0" borderId="56" xfId="0" applyNumberFormat="1" applyBorder="1"/>
    <xf numFmtId="44" fontId="0" fillId="0" borderId="0" xfId="0" applyNumberFormat="1"/>
    <xf numFmtId="0" fontId="11" fillId="0" borderId="71" xfId="0" applyFont="1" applyBorder="1"/>
    <xf numFmtId="0" fontId="11" fillId="0" borderId="72" xfId="0" applyFont="1" applyBorder="1"/>
    <xf numFmtId="44" fontId="16" fillId="0" borderId="73" xfId="0" applyNumberFormat="1" applyFont="1" applyBorder="1"/>
    <xf numFmtId="44" fontId="16" fillId="0" borderId="74" xfId="0" applyNumberFormat="1" applyFont="1" applyBorder="1"/>
    <xf numFmtId="44" fontId="16" fillId="0" borderId="72" xfId="0" applyNumberFormat="1" applyFont="1" applyBorder="1"/>
    <xf numFmtId="44" fontId="16" fillId="0" borderId="75" xfId="0" applyNumberFormat="1" applyFont="1" applyBorder="1"/>
    <xf numFmtId="0" fontId="0" fillId="0" borderId="76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55" xfId="0" applyNumberFormat="1" applyBorder="1"/>
    <xf numFmtId="44" fontId="0" fillId="0" borderId="19" xfId="0" applyNumberFormat="1" applyBorder="1"/>
    <xf numFmtId="0" fontId="11" fillId="0" borderId="77" xfId="0" applyFont="1" applyBorder="1" applyAlignment="1">
      <alignment horizontal="right"/>
    </xf>
    <xf numFmtId="0" fontId="11" fillId="0" borderId="78" xfId="0" applyFont="1" applyBorder="1" applyAlignment="1">
      <alignment horizontal="right"/>
    </xf>
    <xf numFmtId="44" fontId="16" fillId="0" borderId="79" xfId="1" applyNumberFormat="1" applyFont="1" applyBorder="1"/>
    <xf numFmtId="44" fontId="16" fillId="0" borderId="80" xfId="1" applyNumberFormat="1" applyFont="1" applyBorder="1"/>
    <xf numFmtId="44" fontId="16" fillId="0" borderId="1" xfId="1" applyNumberFormat="1" applyFont="1" applyBorder="1"/>
    <xf numFmtId="44" fontId="16" fillId="0" borderId="81" xfId="1" applyNumberFormat="1" applyFont="1" applyBorder="1"/>
    <xf numFmtId="0" fontId="35" fillId="0" borderId="82" xfId="0" applyFont="1" applyBorder="1"/>
    <xf numFmtId="0" fontId="35" fillId="0" borderId="61" xfId="0" applyFont="1" applyBorder="1"/>
    <xf numFmtId="44" fontId="35" fillId="0" borderId="61" xfId="0" applyNumberFormat="1" applyFont="1" applyBorder="1"/>
    <xf numFmtId="44" fontId="0" fillId="0" borderId="83" xfId="0" applyNumberFormat="1" applyBorder="1"/>
    <xf numFmtId="44" fontId="0" fillId="0" borderId="84" xfId="0" applyNumberFormat="1" applyBorder="1"/>
    <xf numFmtId="44" fontId="0" fillId="0" borderId="0" xfId="0" applyNumberFormat="1" applyAlignment="1">
      <alignment horizontal="right"/>
    </xf>
    <xf numFmtId="0" fontId="36" fillId="0" borderId="0" xfId="0" applyFont="1"/>
    <xf numFmtId="0" fontId="36" fillId="0" borderId="0" xfId="0" applyFont="1" applyAlignment="1">
      <alignment vertical="center" wrapText="1"/>
    </xf>
    <xf numFmtId="169" fontId="0" fillId="0" borderId="0" xfId="0" applyNumberFormat="1"/>
    <xf numFmtId="43" fontId="0" fillId="0" borderId="0" xfId="0" applyNumberFormat="1"/>
    <xf numFmtId="168" fontId="10" fillId="2" borderId="15" xfId="1" applyNumberFormat="1" applyFont="1" applyFill="1" applyBorder="1" applyAlignment="1" applyProtection="1"/>
    <xf numFmtId="1" fontId="8" fillId="0" borderId="12" xfId="5" applyNumberFormat="1" applyFont="1" applyBorder="1"/>
    <xf numFmtId="170" fontId="16" fillId="0" borderId="1" xfId="2" applyNumberFormat="1" applyFont="1" applyBorder="1"/>
    <xf numFmtId="171" fontId="15" fillId="0" borderId="0" xfId="0" applyNumberFormat="1" applyFont="1" applyAlignment="1">
      <alignment horizontal="left"/>
    </xf>
    <xf numFmtId="171" fontId="16" fillId="0" borderId="1" xfId="0" applyNumberFormat="1" applyFont="1" applyBorder="1"/>
    <xf numFmtId="170" fontId="17" fillId="0" borderId="0" xfId="0" applyNumberFormat="1" applyFont="1"/>
    <xf numFmtId="0" fontId="38" fillId="0" borderId="3" xfId="0" applyFont="1" applyBorder="1" applyAlignment="1">
      <alignment horizontal="right"/>
    </xf>
    <xf numFmtId="0" fontId="38" fillId="2" borderId="0" xfId="0" applyFont="1" applyFill="1" applyAlignment="1">
      <alignment horizontal="right"/>
    </xf>
    <xf numFmtId="168" fontId="4" fillId="2" borderId="15" xfId="1" applyNumberFormat="1" applyFont="1" applyFill="1" applyBorder="1" applyAlignment="1" applyProtection="1"/>
    <xf numFmtId="0" fontId="36" fillId="0" borderId="0" xfId="0" applyFont="1" applyAlignment="1">
      <alignment horizontal="left" vertical="center" wrapText="1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4" fontId="24" fillId="0" borderId="26" xfId="0" applyNumberFormat="1" applyFont="1" applyBorder="1" applyAlignment="1">
      <alignment horizontal="center"/>
    </xf>
    <xf numFmtId="14" fontId="24" fillId="0" borderId="27" xfId="0" applyNumberFormat="1" applyFont="1" applyBorder="1" applyAlignment="1">
      <alignment horizontal="center"/>
    </xf>
    <xf numFmtId="168" fontId="23" fillId="0" borderId="18" xfId="1" applyNumberFormat="1" applyFont="1" applyFill="1" applyBorder="1" applyAlignment="1" applyProtection="1">
      <alignment horizontal="center"/>
    </xf>
    <xf numFmtId="168" fontId="23" fillId="0" borderId="21" xfId="1" applyNumberFormat="1" applyFont="1" applyFill="1" applyBorder="1" applyAlignment="1" applyProtection="1">
      <alignment horizontal="center"/>
    </xf>
    <xf numFmtId="168" fontId="23" fillId="0" borderId="22" xfId="1" applyNumberFormat="1" applyFont="1" applyFill="1" applyBorder="1" applyAlignment="1" applyProtection="1">
      <alignment horizontal="center"/>
    </xf>
    <xf numFmtId="168" fontId="23" fillId="0" borderId="23" xfId="1" applyNumberFormat="1" applyFont="1" applyFill="1" applyBorder="1" applyAlignment="1" applyProtection="1">
      <alignment horizontal="center"/>
    </xf>
    <xf numFmtId="168" fontId="20" fillId="0" borderId="10" xfId="1" applyNumberFormat="1" applyFont="1" applyFill="1" applyBorder="1" applyAlignment="1" applyProtection="1">
      <alignment horizontal="center"/>
    </xf>
    <xf numFmtId="0" fontId="20" fillId="0" borderId="10" xfId="5" applyBorder="1" applyAlignment="1">
      <alignment horizontal="center"/>
    </xf>
    <xf numFmtId="168" fontId="10" fillId="0" borderId="10" xfId="1" applyNumberFormat="1" applyFont="1" applyFill="1" applyBorder="1" applyAlignment="1" applyProtection="1">
      <alignment horizontal="center"/>
    </xf>
    <xf numFmtId="0" fontId="10" fillId="0" borderId="10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8" fontId="18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2" borderId="1" xfId="0" applyNumberFormat="1" applyFont="1" applyFill="1" applyBorder="1"/>
    <xf numFmtId="44" fontId="31" fillId="2" borderId="44" xfId="0" applyNumberFormat="1" applyFont="1" applyFill="1" applyBorder="1" applyAlignment="1">
      <alignment wrapText="1"/>
    </xf>
    <xf numFmtId="44" fontId="24" fillId="2" borderId="30" xfId="0" applyNumberFormat="1" applyFont="1" applyFill="1" applyBorder="1"/>
    <xf numFmtId="168" fontId="4" fillId="2" borderId="16" xfId="1" applyNumberFormat="1" applyFont="1" applyFill="1" applyBorder="1" applyAlignment="1" applyProtection="1"/>
  </cellXfs>
  <cellStyles count="8">
    <cellStyle name="Comma" xfId="1" builtinId="3"/>
    <cellStyle name="Comma 2" xfId="3" xr:uid="{00000000-0005-0000-0000-000031000000}"/>
    <cellStyle name="Comma 3 2" xfId="4" xr:uid="{00000000-0005-0000-0000-000032000000}"/>
    <cellStyle name="Currency" xfId="2" builtinId="4"/>
    <cellStyle name="Excel Built-in Normal" xfId="5" xr:uid="{00000000-0005-0000-0000-000033000000}"/>
    <cellStyle name="Excel Built-in Normal 2" xfId="6" xr:uid="{00000000-0005-0000-0000-000034000000}"/>
    <cellStyle name="Normal" xfId="0" builtinId="0"/>
    <cellStyle name="Normal 2" xfId="7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y\Downloads\Church\2023\Expenditu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y\AppData\Local\Temp\4ed3685b-e408-4714-922e-6f12002055ed_2023%20(1).zip.5ed\CAP%20Job%20Club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y\Downloads\Church\2023\Incom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Mth Std Payments"/>
      <sheetName val="Petty Cash Summary"/>
      <sheetName val="Review"/>
      <sheetName val="Parish Retu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W4">
            <v>18242.93</v>
          </cell>
        </row>
        <row r="15">
          <cell r="BB15">
            <v>538.71</v>
          </cell>
          <cell r="BC15">
            <v>28683.09</v>
          </cell>
        </row>
        <row r="16">
          <cell r="D16">
            <v>2400</v>
          </cell>
          <cell r="E16">
            <v>1200</v>
          </cell>
          <cell r="G16">
            <v>0</v>
          </cell>
          <cell r="H16">
            <v>29014.59</v>
          </cell>
          <cell r="I16">
            <v>0</v>
          </cell>
          <cell r="J16">
            <v>1153.3800000000001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206.44</v>
          </cell>
          <cell r="R16">
            <v>1585.63</v>
          </cell>
          <cell r="U16">
            <v>509.56</v>
          </cell>
          <cell r="V16">
            <v>5090.47</v>
          </cell>
          <cell r="W16">
            <v>5993.88</v>
          </cell>
          <cell r="X16">
            <v>2108</v>
          </cell>
          <cell r="Y16">
            <v>1341.75</v>
          </cell>
          <cell r="Z16">
            <v>0</v>
          </cell>
          <cell r="AA16">
            <v>154.69</v>
          </cell>
          <cell r="AC16">
            <v>0</v>
          </cell>
          <cell r="AD16">
            <v>265.45999999999998</v>
          </cell>
          <cell r="AE16">
            <v>5291.29</v>
          </cell>
          <cell r="AF16">
            <v>0</v>
          </cell>
          <cell r="AG16">
            <v>97.45</v>
          </cell>
          <cell r="AH16">
            <v>0</v>
          </cell>
          <cell r="AI16">
            <v>4680</v>
          </cell>
          <cell r="AJ16">
            <v>1344</v>
          </cell>
          <cell r="AK16">
            <v>577.92999999999995</v>
          </cell>
          <cell r="AL16">
            <v>0</v>
          </cell>
          <cell r="AN16">
            <v>0</v>
          </cell>
          <cell r="AO16">
            <v>0</v>
          </cell>
          <cell r="AP16">
            <v>157</v>
          </cell>
          <cell r="AQ16">
            <v>753.4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Standard Monthly"/>
      <sheetName val="Year Review"/>
      <sheetName val="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7">
          <cell r="AA17">
            <v>10064.43</v>
          </cell>
          <cell r="AB17">
            <v>63.26</v>
          </cell>
        </row>
      </sheetData>
      <sheetData sheetId="14" refreshError="1">
        <row r="8">
          <cell r="H8">
            <v>485</v>
          </cell>
        </row>
        <row r="9">
          <cell r="H9">
            <v>503</v>
          </cell>
        </row>
        <row r="10">
          <cell r="H10">
            <v>0</v>
          </cell>
        </row>
        <row r="11">
          <cell r="H11">
            <v>6000</v>
          </cell>
        </row>
        <row r="14">
          <cell r="H14">
            <v>1200</v>
          </cell>
        </row>
        <row r="19">
          <cell r="H19">
            <v>11836.28</v>
          </cell>
        </row>
        <row r="20">
          <cell r="H20">
            <v>967.8</v>
          </cell>
        </row>
        <row r="21">
          <cell r="H21">
            <v>508.53</v>
          </cell>
        </row>
        <row r="22">
          <cell r="H22">
            <v>108.9</v>
          </cell>
        </row>
        <row r="23">
          <cell r="H23">
            <v>398.39</v>
          </cell>
        </row>
        <row r="24">
          <cell r="H24">
            <v>13.24</v>
          </cell>
        </row>
        <row r="25">
          <cell r="H25">
            <v>48.84</v>
          </cell>
        </row>
        <row r="26">
          <cell r="H26">
            <v>44.26</v>
          </cell>
        </row>
        <row r="27">
          <cell r="H27">
            <v>0</v>
          </cell>
        </row>
        <row r="28">
          <cell r="H28">
            <v>397</v>
          </cell>
        </row>
        <row r="29">
          <cell r="H29">
            <v>720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Monthly Items"/>
      <sheetName val="Review"/>
      <sheetName val="Parish Return"/>
      <sheetName val="Monthly Review"/>
      <sheetName val="Dioce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6">
          <cell r="C16">
            <v>32884</v>
          </cell>
          <cell r="D16">
            <v>4683.13</v>
          </cell>
          <cell r="E16">
            <v>1995</v>
          </cell>
          <cell r="F16">
            <v>6457.17</v>
          </cell>
          <cell r="H16">
            <v>397.5</v>
          </cell>
          <cell r="I16">
            <v>0</v>
          </cell>
          <cell r="J16">
            <v>500</v>
          </cell>
          <cell r="K16">
            <v>765.79</v>
          </cell>
          <cell r="L16">
            <v>164.21</v>
          </cell>
          <cell r="N16">
            <v>0</v>
          </cell>
          <cell r="P16">
            <v>4263.8500000000004</v>
          </cell>
          <cell r="Q16">
            <v>540.16</v>
          </cell>
          <cell r="R16">
            <v>682</v>
          </cell>
          <cell r="S16">
            <v>8675.1299999999992</v>
          </cell>
          <cell r="T16">
            <v>-49.86</v>
          </cell>
          <cell r="U16">
            <v>0</v>
          </cell>
          <cell r="W16">
            <v>827.08</v>
          </cell>
          <cell r="Z16">
            <v>0</v>
          </cell>
          <cell r="AA16">
            <v>540</v>
          </cell>
          <cell r="AD16">
            <v>0</v>
          </cell>
          <cell r="AE16">
            <v>779.38</v>
          </cell>
          <cell r="AF16">
            <v>4680</v>
          </cell>
          <cell r="AG16">
            <v>2974.1</v>
          </cell>
          <cell r="AH16">
            <v>190</v>
          </cell>
        </row>
        <row r="33">
          <cell r="AM33">
            <v>4680</v>
          </cell>
        </row>
        <row r="35">
          <cell r="C35">
            <v>850</v>
          </cell>
          <cell r="D35">
            <v>45</v>
          </cell>
          <cell r="G35">
            <v>0</v>
          </cell>
          <cell r="Q35">
            <v>130.28</v>
          </cell>
        </row>
      </sheetData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workbookViewId="0">
      <selection activeCell="D16" sqref="D16"/>
    </sheetView>
  </sheetViews>
  <sheetFormatPr defaultColWidth="9" defaultRowHeight="15"/>
  <cols>
    <col min="1" max="1" width="43" customWidth="1"/>
    <col min="2" max="2" width="5.85546875" customWidth="1"/>
    <col min="3" max="3" width="13" customWidth="1"/>
    <col min="4" max="4" width="21.42578125" customWidth="1"/>
    <col min="5" max="5" width="13" customWidth="1"/>
    <col min="6" max="6" width="21.42578125" customWidth="1"/>
    <col min="7" max="7" width="11.28515625" customWidth="1"/>
    <col min="8" max="8" width="20.140625" customWidth="1"/>
    <col min="9" max="9" width="3.5703125" customWidth="1"/>
    <col min="10" max="10" width="10.5703125" customWidth="1"/>
    <col min="11" max="11" width="12.28515625" customWidth="1"/>
    <col min="12" max="12" width="10.42578125" customWidth="1"/>
  </cols>
  <sheetData>
    <row r="1" spans="1:8" ht="26.25">
      <c r="A1" s="242" t="s">
        <v>0</v>
      </c>
      <c r="B1" s="242"/>
      <c r="C1" s="242"/>
      <c r="D1" s="242"/>
      <c r="E1" s="242"/>
      <c r="F1" s="242"/>
      <c r="G1" s="242"/>
      <c r="H1" s="242"/>
    </row>
    <row r="2" spans="1:8" ht="23.25">
      <c r="A2" s="243" t="s">
        <v>1</v>
      </c>
      <c r="B2" s="243"/>
      <c r="C2" s="243"/>
      <c r="D2" s="243"/>
      <c r="E2" s="243"/>
      <c r="F2" s="243"/>
      <c r="G2" s="243"/>
      <c r="H2" s="243"/>
    </row>
    <row r="3" spans="1:8" ht="23.25">
      <c r="A3" s="244" t="s">
        <v>2</v>
      </c>
      <c r="B3" s="244"/>
      <c r="C3" s="244"/>
      <c r="D3" s="244"/>
      <c r="E3" s="244"/>
      <c r="F3" s="244"/>
      <c r="G3" s="244"/>
      <c r="H3" s="244"/>
    </row>
    <row r="4" spans="1:8" ht="13.5" customHeight="1">
      <c r="A4" s="119"/>
      <c r="B4" s="119"/>
      <c r="C4" s="119"/>
      <c r="D4" s="119"/>
      <c r="E4" s="119"/>
      <c r="F4" s="119"/>
      <c r="G4" s="119"/>
      <c r="H4" s="119"/>
    </row>
    <row r="5" spans="1:8" ht="29.25" customHeight="1">
      <c r="A5" s="69"/>
      <c r="B5" s="69"/>
      <c r="C5" s="245">
        <v>46022</v>
      </c>
      <c r="D5" s="246"/>
      <c r="E5" s="245">
        <v>45657</v>
      </c>
      <c r="F5" s="246"/>
      <c r="G5" s="245">
        <v>45291</v>
      </c>
      <c r="H5" s="246"/>
    </row>
    <row r="6" spans="1:8" ht="15.75">
      <c r="A6" s="69"/>
      <c r="B6" s="69"/>
      <c r="C6" s="236" t="s">
        <v>3</v>
      </c>
      <c r="D6" s="237"/>
      <c r="E6" s="236" t="s">
        <v>3</v>
      </c>
      <c r="F6" s="237"/>
      <c r="G6" s="236" t="s">
        <v>3</v>
      </c>
      <c r="H6" s="237"/>
    </row>
    <row r="7" spans="1:8" ht="18.75">
      <c r="A7" s="120" t="s">
        <v>4</v>
      </c>
      <c r="B7" s="120"/>
      <c r="C7" s="121"/>
      <c r="D7" s="122"/>
      <c r="E7" s="121"/>
      <c r="F7" s="122"/>
      <c r="G7" s="123"/>
      <c r="H7" s="124"/>
    </row>
    <row r="8" spans="1:8" ht="15.75">
      <c r="A8" s="69" t="s">
        <v>5</v>
      </c>
      <c r="B8" s="69"/>
      <c r="C8" s="125"/>
      <c r="D8" s="126">
        <f>SUM(C9:C14)</f>
        <v>23954.639999999999</v>
      </c>
      <c r="E8" s="125"/>
      <c r="F8" s="126">
        <v>13989.54</v>
      </c>
      <c r="G8" s="125"/>
      <c r="H8" s="126">
        <f>SUM(G9:G14)</f>
        <v>29221.8</v>
      </c>
    </row>
    <row r="9" spans="1:8">
      <c r="A9" s="127" t="s">
        <v>6</v>
      </c>
      <c r="B9" s="127"/>
      <c r="C9" s="128">
        <v>728.09</v>
      </c>
      <c r="D9" s="129"/>
      <c r="E9" s="128">
        <v>700.14</v>
      </c>
      <c r="F9" s="129"/>
      <c r="G9" s="128">
        <f>[1]Review!$BB$15</f>
        <v>538.71</v>
      </c>
      <c r="H9" s="129"/>
    </row>
    <row r="10" spans="1:8">
      <c r="A10" s="127" t="s">
        <v>7</v>
      </c>
      <c r="B10" s="127"/>
      <c r="C10" s="128">
        <v>23226.55</v>
      </c>
      <c r="D10" s="129"/>
      <c r="E10" s="128">
        <v>13289.4</v>
      </c>
      <c r="F10" s="129"/>
      <c r="G10" s="128">
        <f>+[1]Review!$BC$15</f>
        <v>28683.09</v>
      </c>
      <c r="H10" s="129"/>
    </row>
    <row r="11" spans="1:8">
      <c r="A11" s="127" t="s">
        <v>8</v>
      </c>
      <c r="B11" s="127"/>
      <c r="C11" s="128">
        <v>0</v>
      </c>
      <c r="D11" s="129"/>
      <c r="E11" s="128">
        <v>0</v>
      </c>
      <c r="F11" s="129"/>
      <c r="G11" s="128">
        <v>0</v>
      </c>
      <c r="H11" s="129"/>
    </row>
    <row r="12" spans="1:8">
      <c r="A12" s="127" t="s">
        <v>9</v>
      </c>
      <c r="B12" s="127"/>
      <c r="C12" s="128">
        <v>0</v>
      </c>
      <c r="D12" s="129"/>
      <c r="E12" s="128">
        <v>0</v>
      </c>
      <c r="F12" s="129"/>
      <c r="G12" s="128">
        <v>0</v>
      </c>
      <c r="H12" s="129"/>
    </row>
    <row r="13" spans="1:8">
      <c r="A13" s="127" t="s">
        <v>10</v>
      </c>
      <c r="B13" s="127"/>
      <c r="C13" s="128">
        <v>0</v>
      </c>
      <c r="D13" s="129"/>
      <c r="E13" s="128">
        <v>0</v>
      </c>
      <c r="F13" s="129"/>
      <c r="G13" s="128">
        <v>0</v>
      </c>
      <c r="H13" s="129"/>
    </row>
    <row r="14" spans="1:8">
      <c r="A14" s="127" t="s">
        <v>11</v>
      </c>
      <c r="B14" s="127"/>
      <c r="C14" s="128">
        <v>0</v>
      </c>
      <c r="D14" s="129"/>
      <c r="E14" s="128">
        <v>0</v>
      </c>
      <c r="F14" s="129"/>
      <c r="G14" s="128">
        <v>0</v>
      </c>
      <c r="H14" s="129"/>
    </row>
    <row r="15" spans="1:8" ht="15.75">
      <c r="A15" s="130"/>
      <c r="B15" s="131"/>
      <c r="C15" s="132"/>
      <c r="D15" s="133"/>
      <c r="E15" s="132"/>
      <c r="F15" s="133"/>
      <c r="G15" s="134"/>
      <c r="H15" s="135"/>
    </row>
    <row r="16" spans="1:8" ht="15.75">
      <c r="A16" s="136" t="s">
        <v>12</v>
      </c>
      <c r="B16" s="136"/>
      <c r="C16" s="137"/>
      <c r="D16" s="269">
        <f>D8</f>
        <v>23954.639999999999</v>
      </c>
      <c r="E16" s="137"/>
      <c r="F16" s="138">
        <f>F8</f>
        <v>13989.54</v>
      </c>
      <c r="G16" s="137"/>
      <c r="H16" s="138">
        <f>H8</f>
        <v>29221.8</v>
      </c>
    </row>
    <row r="17" spans="1:12">
      <c r="A17" s="139"/>
      <c r="B17" s="139"/>
      <c r="C17" s="140"/>
      <c r="D17" s="141"/>
      <c r="E17" s="140"/>
      <c r="F17" s="141"/>
      <c r="G17" s="142"/>
      <c r="H17" s="141"/>
    </row>
    <row r="18" spans="1:12" ht="18.75">
      <c r="A18" s="143" t="s">
        <v>13</v>
      </c>
      <c r="B18" s="139"/>
      <c r="C18" s="140"/>
      <c r="D18" s="144"/>
      <c r="E18" s="140"/>
      <c r="F18" s="144"/>
      <c r="G18" s="142"/>
      <c r="H18" s="145"/>
    </row>
    <row r="19" spans="1:12" ht="30">
      <c r="A19" s="146" t="s">
        <v>14</v>
      </c>
      <c r="B19" s="146"/>
      <c r="C19" s="147"/>
      <c r="D19" s="148">
        <v>1804.21</v>
      </c>
      <c r="E19" s="147"/>
      <c r="F19" s="149">
        <v>1761.11</v>
      </c>
      <c r="G19" s="150"/>
      <c r="H19" s="151">
        <v>1613.36</v>
      </c>
    </row>
    <row r="20" spans="1:12" ht="15.75">
      <c r="A20" s="139" t="s">
        <v>15</v>
      </c>
      <c r="B20" s="139"/>
      <c r="C20" s="152"/>
      <c r="D20" s="268">
        <v>2079.88</v>
      </c>
      <c r="E20" s="152"/>
      <c r="F20" s="153">
        <v>9051.8799999999992</v>
      </c>
      <c r="G20" s="152"/>
      <c r="H20" s="154">
        <v>7947.87</v>
      </c>
    </row>
    <row r="21" spans="1:12" ht="9.75" customHeight="1">
      <c r="A21" s="155"/>
      <c r="B21" s="155"/>
      <c r="C21" s="156"/>
      <c r="D21" s="157"/>
      <c r="E21" s="156"/>
      <c r="F21" s="157"/>
      <c r="G21" s="156"/>
      <c r="H21" s="157"/>
    </row>
    <row r="22" spans="1:12" ht="31.5" customHeight="1">
      <c r="A22" s="158" t="s">
        <v>16</v>
      </c>
      <c r="B22" s="158"/>
      <c r="C22" s="159"/>
      <c r="D22" s="160">
        <f>SUM(D19:D20)</f>
        <v>3884.09</v>
      </c>
      <c r="E22" s="159"/>
      <c r="F22" s="160">
        <f>SUM(F19:F20)</f>
        <v>10812.99</v>
      </c>
      <c r="G22" s="159"/>
      <c r="H22" s="160">
        <f>SUM(H17:H20)</f>
        <v>9561.23</v>
      </c>
      <c r="J22" s="222"/>
    </row>
    <row r="23" spans="1:12" ht="31.5" customHeight="1">
      <c r="A23" s="69"/>
      <c r="B23" s="69"/>
      <c r="C23" s="161"/>
      <c r="D23" s="162"/>
      <c r="E23" s="161"/>
      <c r="F23" s="162"/>
      <c r="G23" s="125"/>
      <c r="H23" s="162"/>
      <c r="J23" s="235"/>
      <c r="K23" s="235"/>
    </row>
    <row r="24" spans="1:12" ht="15.75" customHeight="1">
      <c r="A24" s="163" t="s">
        <v>17</v>
      </c>
      <c r="B24" s="163"/>
      <c r="C24" s="164"/>
      <c r="D24" s="165">
        <f>SUM(C25:C27)</f>
        <v>0</v>
      </c>
      <c r="E24" s="164"/>
      <c r="F24" s="165">
        <f>SUM(E25:E27)</f>
        <v>135.16</v>
      </c>
      <c r="G24" s="166"/>
      <c r="H24" s="126">
        <f>SUM(G25:G27)</f>
        <v>10127.69</v>
      </c>
      <c r="J24" s="235"/>
      <c r="K24" s="235"/>
      <c r="L24" s="223"/>
    </row>
    <row r="25" spans="1:12">
      <c r="A25" s="127" t="s">
        <v>18</v>
      </c>
      <c r="B25" s="127"/>
      <c r="C25" s="167">
        <v>0</v>
      </c>
      <c r="D25" s="168"/>
      <c r="E25" s="167">
        <v>135.16</v>
      </c>
      <c r="F25" s="168"/>
      <c r="G25" s="169">
        <f>+'[2]Year Review'!$AA$17</f>
        <v>10064.43</v>
      </c>
      <c r="H25" s="129"/>
      <c r="J25" s="235"/>
      <c r="K25" s="235"/>
      <c r="L25" s="223"/>
    </row>
    <row r="26" spans="1:12">
      <c r="A26" s="127" t="s">
        <v>8</v>
      </c>
      <c r="B26" s="127"/>
      <c r="C26" s="167">
        <v>0</v>
      </c>
      <c r="D26" s="168"/>
      <c r="E26" s="167">
        <v>0</v>
      </c>
      <c r="F26" s="168"/>
      <c r="G26" s="169">
        <f>+'[2]Year Review'!$AB$17</f>
        <v>63.26</v>
      </c>
      <c r="H26" s="129"/>
      <c r="J26" s="235"/>
      <c r="K26" s="235"/>
      <c r="L26" s="223"/>
    </row>
    <row r="27" spans="1:12">
      <c r="A27" s="127" t="s">
        <v>19</v>
      </c>
      <c r="B27" s="127"/>
      <c r="C27" s="167"/>
      <c r="D27" s="168"/>
      <c r="E27" s="167"/>
      <c r="F27" s="168"/>
      <c r="G27" s="169"/>
      <c r="H27" s="129"/>
      <c r="J27" s="235"/>
      <c r="K27" s="235"/>
      <c r="L27" s="223"/>
    </row>
    <row r="28" spans="1:12">
      <c r="A28" s="69"/>
      <c r="B28" s="69"/>
      <c r="C28" s="170"/>
      <c r="D28" s="171"/>
      <c r="E28" s="170"/>
      <c r="F28" s="171"/>
      <c r="G28" s="172"/>
      <c r="H28" s="162"/>
      <c r="J28" s="223"/>
      <c r="K28" s="223"/>
      <c r="L28" s="223"/>
    </row>
    <row r="29" spans="1:12" ht="15.75">
      <c r="A29" s="173" t="s">
        <v>20</v>
      </c>
      <c r="B29" s="173"/>
      <c r="C29" s="174"/>
      <c r="D29" s="175">
        <f>SUM(D22:D28)</f>
        <v>3884.09</v>
      </c>
      <c r="E29" s="174"/>
      <c r="F29" s="175">
        <f>SUM(F22:F28)</f>
        <v>10948.15</v>
      </c>
      <c r="G29" s="176"/>
      <c r="H29" s="177">
        <f>SUM(H22:H28)</f>
        <v>19688.919999999998</v>
      </c>
    </row>
    <row r="30" spans="1:12" ht="15.75">
      <c r="A30" s="178"/>
      <c r="B30" s="178"/>
      <c r="C30" s="179"/>
      <c r="D30" s="180"/>
      <c r="E30" s="179"/>
      <c r="F30" s="180"/>
      <c r="G30" s="181"/>
      <c r="H30" s="126"/>
    </row>
    <row r="31" spans="1:12" ht="18.75">
      <c r="A31" s="182" t="s">
        <v>21</v>
      </c>
      <c r="B31" s="178"/>
      <c r="C31" s="179"/>
      <c r="D31" s="180"/>
      <c r="E31" s="179"/>
      <c r="F31" s="180"/>
      <c r="G31" s="181"/>
      <c r="H31" s="126"/>
    </row>
    <row r="32" spans="1:12" ht="15.75">
      <c r="A32" s="183" t="s">
        <v>22</v>
      </c>
      <c r="B32" s="184"/>
      <c r="C32" s="185"/>
      <c r="D32" s="186">
        <v>9043.2999999999993</v>
      </c>
      <c r="E32" s="185"/>
      <c r="F32" s="186">
        <v>8651.76</v>
      </c>
      <c r="G32" s="187"/>
      <c r="H32" s="188">
        <v>7960.56</v>
      </c>
    </row>
    <row r="33" spans="1:11" ht="15.75">
      <c r="A33" s="178"/>
      <c r="B33" s="178"/>
      <c r="C33" s="179"/>
      <c r="D33" s="180"/>
      <c r="E33" s="179"/>
      <c r="F33" s="180"/>
      <c r="G33" s="181"/>
      <c r="H33" s="126"/>
    </row>
    <row r="34" spans="1:11" ht="18.75">
      <c r="A34" s="189" t="s">
        <v>23</v>
      </c>
      <c r="B34" s="189"/>
      <c r="C34" s="190"/>
      <c r="D34" s="191">
        <f>D16+D29+D32</f>
        <v>36882.03</v>
      </c>
      <c r="E34" s="190"/>
      <c r="F34" s="191">
        <f>F16+F29+F32</f>
        <v>33589.449999999997</v>
      </c>
      <c r="G34" s="192"/>
      <c r="H34" s="193">
        <f>H16+H29+H32</f>
        <v>56871.28</v>
      </c>
    </row>
    <row r="35" spans="1:11" ht="18.75">
      <c r="A35" s="120"/>
      <c r="B35" s="120"/>
      <c r="C35" s="194"/>
      <c r="D35" s="195"/>
      <c r="E35" s="194"/>
      <c r="F35" s="195"/>
      <c r="G35" s="196"/>
      <c r="H35" s="196"/>
    </row>
    <row r="36" spans="1:11">
      <c r="C36" s="197"/>
      <c r="D36" s="198"/>
      <c r="E36" s="197"/>
      <c r="F36" s="198"/>
      <c r="G36" s="199"/>
      <c r="H36" s="199"/>
    </row>
    <row r="37" spans="1:11" ht="18.75">
      <c r="C37" s="238">
        <v>2025</v>
      </c>
      <c r="D37" s="239"/>
      <c r="E37" s="238">
        <v>2024</v>
      </c>
      <c r="F37" s="239"/>
      <c r="G37" s="240">
        <v>2023</v>
      </c>
      <c r="H37" s="241"/>
    </row>
    <row r="38" spans="1:11" ht="18.75">
      <c r="A38" s="200" t="s">
        <v>24</v>
      </c>
      <c r="B38" s="201"/>
      <c r="C38" s="202" t="s">
        <v>25</v>
      </c>
      <c r="D38" s="203" t="s">
        <v>26</v>
      </c>
      <c r="E38" s="202" t="s">
        <v>25</v>
      </c>
      <c r="F38" s="203" t="s">
        <v>26</v>
      </c>
      <c r="G38" s="204" t="s">
        <v>25</v>
      </c>
      <c r="H38" s="205" t="s">
        <v>26</v>
      </c>
    </row>
    <row r="39" spans="1:11">
      <c r="A39" s="206" t="s">
        <v>5</v>
      </c>
      <c r="B39" s="207"/>
      <c r="C39" s="208">
        <f>+'Church Receipts and Payments'!C40</f>
        <v>61592.909999999989</v>
      </c>
      <c r="D39" s="198">
        <f>+'Church Receipts and Payments'!C93</f>
        <v>51627.81</v>
      </c>
      <c r="E39" s="208">
        <v>46376</v>
      </c>
      <c r="F39" s="198">
        <v>61608</v>
      </c>
      <c r="G39" s="199">
        <f>SUM('Church Receipts and Payments'!J7:J34)</f>
        <v>83467.64</v>
      </c>
      <c r="H39" s="209">
        <f>SUM('Church Receipts and Payments'!J46:J89)</f>
        <v>76650.409999999989</v>
      </c>
    </row>
    <row r="40" spans="1:11">
      <c r="A40" s="206" t="s">
        <v>15</v>
      </c>
      <c r="B40" s="207"/>
      <c r="C40" s="208">
        <f>600+335+79</f>
        <v>1014</v>
      </c>
      <c r="D40" s="198">
        <v>8016</v>
      </c>
      <c r="E40" s="208">
        <v>1104.01</v>
      </c>
      <c r="F40" s="198">
        <v>0</v>
      </c>
      <c r="G40" s="199">
        <f>SUM('Balance Sheet'!G21:G27)</f>
        <v>1025.28</v>
      </c>
      <c r="H40" s="209">
        <f>'Balance Sheet'!G29+'Balance Sheet'!G31</f>
        <v>4680</v>
      </c>
    </row>
    <row r="41" spans="1:11">
      <c r="A41" s="206" t="s">
        <v>27</v>
      </c>
      <c r="B41" s="207"/>
      <c r="C41" s="208">
        <v>50</v>
      </c>
      <c r="D41" s="198">
        <f>'CAP Job Club Receipts and Paym'!C35</f>
        <v>185.16</v>
      </c>
      <c r="E41" s="208">
        <v>5704.16</v>
      </c>
      <c r="F41" s="198">
        <f>'CAP Job Club Receipts and Paym'!G35</f>
        <v>15043.24</v>
      </c>
      <c r="G41" s="199">
        <f>'CAP Job Club Receipts and Paym'!G15</f>
        <v>6988</v>
      </c>
      <c r="H41" s="209">
        <f>'CAP Job Club Receipts and Paym'!G35</f>
        <v>15043.24</v>
      </c>
    </row>
    <row r="42" spans="1:11" ht="18.75">
      <c r="A42" s="210" t="s">
        <v>28</v>
      </c>
      <c r="B42" s="211"/>
      <c r="C42" s="212">
        <f t="shared" ref="C42:F42" si="0">SUM(C39:C41)</f>
        <v>62656.909999999989</v>
      </c>
      <c r="D42" s="213">
        <f t="shared" si="0"/>
        <v>59828.97</v>
      </c>
      <c r="E42" s="212">
        <f t="shared" si="0"/>
        <v>53184.17</v>
      </c>
      <c r="F42" s="213">
        <f t="shared" si="0"/>
        <v>76651.240000000005</v>
      </c>
      <c r="G42" s="214">
        <f>SUM(G39:G41)</f>
        <v>91480.92</v>
      </c>
      <c r="H42" s="215">
        <f>SUM(H39:H41)</f>
        <v>96373.65</v>
      </c>
    </row>
    <row r="43" spans="1:11">
      <c r="A43" s="216" t="s">
        <v>29</v>
      </c>
      <c r="B43" s="217"/>
      <c r="C43" s="218"/>
      <c r="D43" s="218"/>
      <c r="E43" s="218"/>
      <c r="F43" s="218"/>
      <c r="G43" s="219"/>
      <c r="H43" s="220"/>
    </row>
    <row r="44" spans="1:11">
      <c r="A44" s="207"/>
      <c r="B44" s="207"/>
      <c r="C44" s="221"/>
      <c r="D44" s="221"/>
      <c r="E44" s="221"/>
      <c r="F44" s="221"/>
      <c r="G44" s="199"/>
      <c r="H44" s="199"/>
    </row>
    <row r="45" spans="1:11">
      <c r="A45" s="207"/>
      <c r="B45" s="207"/>
      <c r="C45" s="221"/>
      <c r="D45" s="221"/>
      <c r="E45" s="221"/>
      <c r="F45" s="221"/>
      <c r="G45" s="199"/>
      <c r="H45" s="199"/>
    </row>
    <row r="46" spans="1:11" ht="21" customHeight="1">
      <c r="A46" s="207"/>
      <c r="B46" s="207"/>
      <c r="C46" s="207"/>
      <c r="D46" s="207"/>
      <c r="E46" s="207"/>
      <c r="F46" s="207"/>
      <c r="K46" s="224"/>
    </row>
    <row r="47" spans="1:11">
      <c r="A47" s="207"/>
      <c r="B47" s="207"/>
      <c r="C47" s="207"/>
      <c r="D47" s="207"/>
      <c r="E47" s="207"/>
      <c r="F47" s="207"/>
    </row>
    <row r="48" spans="1:11">
      <c r="A48" s="207"/>
      <c r="B48" s="207"/>
      <c r="C48" s="207"/>
      <c r="D48" s="207"/>
      <c r="E48" s="207"/>
      <c r="F48" s="207"/>
    </row>
    <row r="49" spans="10:11">
      <c r="J49" s="225"/>
      <c r="K49" s="225"/>
    </row>
  </sheetData>
  <mergeCells count="13">
    <mergeCell ref="A1:H1"/>
    <mergeCell ref="A2:H2"/>
    <mergeCell ref="A3:H3"/>
    <mergeCell ref="C5:D5"/>
    <mergeCell ref="E5:F5"/>
    <mergeCell ref="G5:H5"/>
    <mergeCell ref="J23:K27"/>
    <mergeCell ref="C6:D6"/>
    <mergeCell ref="E6:F6"/>
    <mergeCell ref="G6:H6"/>
    <mergeCell ref="C37:D37"/>
    <mergeCell ref="E37:F37"/>
    <mergeCell ref="G37:H37"/>
  </mergeCells>
  <pageMargins left="0.91" right="0.26" top="0.74803149606299202" bottom="0.74803149606299202" header="0.31496062992126" footer="0.31496062992126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3"/>
  <sheetViews>
    <sheetView topLeftCell="A51" zoomScale="85" zoomScaleNormal="85" workbookViewId="0">
      <selection activeCell="B33" sqref="B33"/>
    </sheetView>
  </sheetViews>
  <sheetFormatPr defaultColWidth="9" defaultRowHeight="15"/>
  <cols>
    <col min="1" max="1" width="55" customWidth="1"/>
    <col min="2" max="2" width="12.28515625" style="68" customWidth="1"/>
    <col min="3" max="3" width="11.42578125" customWidth="1"/>
    <col min="4" max="4" width="3.140625" customWidth="1"/>
    <col min="5" max="5" width="5.85546875" customWidth="1"/>
    <col min="6" max="6" width="12.28515625" style="68" customWidth="1"/>
    <col min="7" max="7" width="11.42578125" customWidth="1"/>
    <col min="8" max="8" width="3.140625" customWidth="1"/>
    <col min="9" max="9" width="5.85546875" customWidth="1"/>
    <col min="10" max="10" width="12.28515625" style="68" customWidth="1"/>
    <col min="11" max="11" width="11.42578125" customWidth="1"/>
    <col min="12" max="12" width="3.140625" customWidth="1"/>
    <col min="13" max="13" width="6.140625" customWidth="1"/>
  </cols>
  <sheetData>
    <row r="1" spans="1:13" ht="49.5" customHeight="1">
      <c r="A1" s="256" t="s">
        <v>30</v>
      </c>
      <c r="B1" s="257"/>
      <c r="C1" s="256"/>
      <c r="D1" s="256"/>
      <c r="E1" s="256"/>
      <c r="F1" s="257"/>
      <c r="G1" s="256"/>
      <c r="H1" s="256"/>
      <c r="I1" s="256"/>
      <c r="J1" s="257"/>
      <c r="K1" s="256"/>
      <c r="L1" s="256"/>
      <c r="M1" s="256"/>
    </row>
    <row r="2" spans="1:13" ht="18.75">
      <c r="A2" s="256" t="s">
        <v>31</v>
      </c>
      <c r="B2" s="257"/>
      <c r="C2" s="256"/>
      <c r="D2" s="256"/>
      <c r="E2" s="256"/>
      <c r="F2" s="257"/>
      <c r="G2" s="256"/>
      <c r="H2" s="256"/>
      <c r="I2" s="256"/>
      <c r="J2" s="257"/>
      <c r="K2" s="256"/>
      <c r="L2" s="256"/>
      <c r="M2" s="256"/>
    </row>
    <row r="3" spans="1:13" ht="45.75" customHeight="1">
      <c r="A3" s="69"/>
      <c r="B3" s="70"/>
      <c r="C3" s="69"/>
      <c r="D3" s="69"/>
      <c r="E3" s="69"/>
      <c r="F3" s="70"/>
      <c r="G3" s="69"/>
      <c r="H3" s="69"/>
      <c r="I3" s="69"/>
      <c r="J3" s="70"/>
      <c r="K3" s="69"/>
      <c r="L3" s="69"/>
      <c r="M3" s="69"/>
    </row>
    <row r="4" spans="1:13">
      <c r="A4" s="23" t="s">
        <v>32</v>
      </c>
      <c r="B4" s="255">
        <v>2025</v>
      </c>
      <c r="C4" s="255"/>
      <c r="D4" s="23"/>
      <c r="E4" s="23"/>
      <c r="F4" s="255">
        <v>2024</v>
      </c>
      <c r="G4" s="255"/>
      <c r="H4" s="23"/>
      <c r="I4" s="23"/>
      <c r="J4" s="255">
        <v>2023</v>
      </c>
      <c r="K4" s="255"/>
      <c r="L4" s="23"/>
      <c r="M4" s="23"/>
    </row>
    <row r="5" spans="1:13" ht="15.75">
      <c r="A5" s="71"/>
      <c r="B5" s="253" t="s">
        <v>3</v>
      </c>
      <c r="C5" s="254"/>
      <c r="D5" s="71"/>
      <c r="E5" s="71"/>
      <c r="F5" s="253" t="s">
        <v>3</v>
      </c>
      <c r="G5" s="254"/>
      <c r="H5" s="71"/>
      <c r="I5" s="71"/>
      <c r="J5" s="253" t="s">
        <v>3</v>
      </c>
      <c r="K5" s="254"/>
      <c r="L5" s="71"/>
      <c r="M5" s="71"/>
    </row>
    <row r="6" spans="1:13" ht="24.75" customHeight="1">
      <c r="A6" s="72" t="s">
        <v>33</v>
      </c>
      <c r="B6" s="73"/>
      <c r="C6" s="74">
        <f>SUM(B7:B15)</f>
        <v>51451.69999999999</v>
      </c>
      <c r="D6" s="74"/>
      <c r="E6" s="74"/>
      <c r="F6" s="73"/>
      <c r="G6" s="74">
        <f>SUM(F7:F15)</f>
        <v>43409.119999999995</v>
      </c>
      <c r="H6" s="74"/>
      <c r="I6" s="74"/>
      <c r="J6" s="73"/>
      <c r="K6" s="74">
        <f t="shared" ref="K6" si="0">SUM(J7:J15)</f>
        <v>64045.799999999996</v>
      </c>
      <c r="L6" s="74"/>
      <c r="M6" s="74"/>
    </row>
    <row r="7" spans="1:13" ht="15.75">
      <c r="A7" s="75" t="s">
        <v>34</v>
      </c>
      <c r="B7" s="226">
        <v>31619</v>
      </c>
      <c r="C7" s="77"/>
      <c r="D7" s="77"/>
      <c r="E7" s="77"/>
      <c r="F7" s="78">
        <v>28590</v>
      </c>
      <c r="G7" s="77"/>
      <c r="H7" s="77"/>
      <c r="I7" s="77"/>
      <c r="J7" s="78">
        <f>+[3]Review!$C$16</f>
        <v>32884</v>
      </c>
      <c r="K7" s="77"/>
      <c r="L7" s="77"/>
      <c r="M7" s="77"/>
    </row>
    <row r="8" spans="1:13" ht="15.75">
      <c r="A8" s="75" t="s">
        <v>35</v>
      </c>
      <c r="B8" s="76">
        <f>SUM(3199.13,3239.11)</f>
        <v>6438.24</v>
      </c>
      <c r="C8" s="77"/>
      <c r="D8" s="77"/>
      <c r="E8" s="77"/>
      <c r="F8" s="78"/>
      <c r="G8" s="77"/>
      <c r="H8" s="77"/>
      <c r="I8" s="77"/>
      <c r="J8" s="78">
        <v>13925</v>
      </c>
      <c r="K8" s="77"/>
      <c r="L8" s="77"/>
      <c r="M8" s="77"/>
    </row>
    <row r="9" spans="1:13" ht="15.75">
      <c r="A9" s="75" t="s">
        <v>36</v>
      </c>
      <c r="B9" s="78">
        <f>4447</f>
        <v>4447</v>
      </c>
      <c r="C9" s="77"/>
      <c r="D9" s="77"/>
      <c r="E9" s="77"/>
      <c r="F9" s="78">
        <v>4160</v>
      </c>
      <c r="G9" s="77"/>
      <c r="H9" s="77"/>
      <c r="I9" s="77"/>
      <c r="J9" s="78">
        <f>+[3]Review!$D$16</f>
        <v>4683.13</v>
      </c>
      <c r="K9" s="77"/>
      <c r="L9" s="77"/>
      <c r="M9" s="77"/>
    </row>
    <row r="10" spans="1:13" ht="15.75">
      <c r="A10" s="75" t="s">
        <v>37</v>
      </c>
      <c r="B10" s="78">
        <v>1900</v>
      </c>
      <c r="C10" s="77"/>
      <c r="D10" s="77"/>
      <c r="E10" s="77"/>
      <c r="F10" s="78">
        <v>1680</v>
      </c>
      <c r="G10" s="77"/>
      <c r="H10" s="77"/>
      <c r="I10" s="77"/>
      <c r="J10" s="78">
        <f>+[3]Review!$E$16</f>
        <v>1995</v>
      </c>
      <c r="K10" s="77"/>
      <c r="L10" s="77"/>
      <c r="M10" s="77"/>
    </row>
    <row r="11" spans="1:13" ht="15.75">
      <c r="A11" s="75" t="s">
        <v>38</v>
      </c>
      <c r="B11" s="78">
        <f>4504.26+20</f>
        <v>4524.26</v>
      </c>
      <c r="C11" s="77"/>
      <c r="D11" s="77"/>
      <c r="E11" s="77"/>
      <c r="F11" s="78">
        <v>4777.8</v>
      </c>
      <c r="G11" s="77"/>
      <c r="H11" s="77"/>
      <c r="I11" s="77"/>
      <c r="J11" s="78">
        <f>+[3]Review!$F$16</f>
        <v>6457.17</v>
      </c>
      <c r="K11" s="77"/>
      <c r="L11" s="77"/>
      <c r="M11" s="77"/>
    </row>
    <row r="12" spans="1:13" ht="30.75">
      <c r="A12" s="79" t="s">
        <v>39</v>
      </c>
      <c r="B12" s="78">
        <f>1612.3+356.8</f>
        <v>1969.1</v>
      </c>
      <c r="C12" s="77"/>
      <c r="D12" s="77"/>
      <c r="E12" s="77"/>
      <c r="F12" s="78">
        <v>2378.52</v>
      </c>
      <c r="G12" s="77"/>
      <c r="H12" s="77"/>
      <c r="I12" s="77"/>
      <c r="J12" s="78">
        <v>2274</v>
      </c>
      <c r="K12" s="77"/>
      <c r="L12" s="77"/>
      <c r="M12" s="77"/>
    </row>
    <row r="13" spans="1:13" ht="15.75">
      <c r="A13" s="77" t="s">
        <v>40</v>
      </c>
      <c r="B13" s="78">
        <v>436.27</v>
      </c>
      <c r="C13" s="77"/>
      <c r="D13" s="77"/>
      <c r="E13" s="77"/>
      <c r="F13" s="78">
        <v>321.72000000000003</v>
      </c>
      <c r="G13" s="77"/>
      <c r="H13" s="77"/>
      <c r="I13" s="77"/>
      <c r="J13" s="78">
        <f>+[3]Review!$K$16</f>
        <v>765.79</v>
      </c>
      <c r="K13" s="77"/>
      <c r="L13" s="77"/>
      <c r="M13" s="77"/>
    </row>
    <row r="14" spans="1:13" ht="15.75">
      <c r="A14" s="77" t="s">
        <v>41</v>
      </c>
      <c r="B14" s="78">
        <v>80.63</v>
      </c>
      <c r="C14" s="77"/>
      <c r="D14" s="77"/>
      <c r="E14" s="77"/>
      <c r="F14" s="78">
        <v>369.88</v>
      </c>
      <c r="G14" s="77"/>
      <c r="H14" s="77"/>
      <c r="I14" s="77"/>
      <c r="J14" s="78">
        <f>+[3]Review!$L$16</f>
        <v>164.21</v>
      </c>
      <c r="K14" s="77"/>
      <c r="L14" s="77"/>
      <c r="M14" s="77"/>
    </row>
    <row r="15" spans="1:13" ht="15.75">
      <c r="A15" s="75" t="s">
        <v>42</v>
      </c>
      <c r="B15" s="78">
        <v>37.200000000000003</v>
      </c>
      <c r="C15" s="77"/>
      <c r="D15" s="77"/>
      <c r="E15" s="77"/>
      <c r="F15" s="78">
        <v>1131.2</v>
      </c>
      <c r="G15" s="77"/>
      <c r="H15" s="77"/>
      <c r="I15" s="77"/>
      <c r="J15" s="78">
        <f>+[3]Review!$H$16+[3]Review!$I$16+[3]Review!$J$16</f>
        <v>897.5</v>
      </c>
      <c r="K15" s="77"/>
      <c r="L15" s="77"/>
      <c r="M15" s="77"/>
    </row>
    <row r="16" spans="1:13" ht="24" customHeight="1">
      <c r="A16" s="72" t="s">
        <v>43</v>
      </c>
      <c r="B16" s="73"/>
      <c r="C16" s="227">
        <f>B17</f>
        <v>237.15</v>
      </c>
      <c r="D16" s="80"/>
      <c r="E16" s="80"/>
      <c r="F16" s="73"/>
      <c r="G16" s="80">
        <f>F17</f>
        <v>418</v>
      </c>
      <c r="H16" s="80"/>
      <c r="I16" s="80"/>
      <c r="J16" s="73"/>
      <c r="K16" s="80">
        <f>J17</f>
        <v>540.16</v>
      </c>
      <c r="L16" s="80"/>
      <c r="M16" s="80"/>
    </row>
    <row r="17" spans="1:13" ht="15.75">
      <c r="A17" s="75" t="s">
        <v>44</v>
      </c>
      <c r="B17" s="78">
        <v>237.15</v>
      </c>
      <c r="C17" s="77"/>
      <c r="D17" s="77"/>
      <c r="E17" s="77"/>
      <c r="F17" s="78">
        <v>418</v>
      </c>
      <c r="G17" s="77"/>
      <c r="H17" s="77"/>
      <c r="I17" s="77"/>
      <c r="J17" s="78">
        <f>+[3]Review!$Q$16</f>
        <v>540.16</v>
      </c>
      <c r="K17" s="77"/>
      <c r="L17" s="77"/>
      <c r="M17" s="77"/>
    </row>
    <row r="18" spans="1:13" ht="21.75" customHeight="1">
      <c r="A18" s="72" t="s">
        <v>45</v>
      </c>
      <c r="B18" s="73"/>
      <c r="C18" s="74">
        <f>SUM(B19:B24)</f>
        <v>2767.5</v>
      </c>
      <c r="D18" s="74"/>
      <c r="E18" s="74"/>
      <c r="F18" s="73"/>
      <c r="G18" s="74">
        <f>SUM(F19:F24)</f>
        <v>2548.56</v>
      </c>
      <c r="H18" s="74"/>
      <c r="I18" s="74"/>
      <c r="J18" s="73"/>
      <c r="K18" s="74">
        <f>SUM(J19:J24)</f>
        <v>14588.2</v>
      </c>
      <c r="L18" s="74"/>
      <c r="M18" s="74"/>
    </row>
    <row r="19" spans="1:13" ht="15.75">
      <c r="A19" s="75" t="s">
        <v>46</v>
      </c>
      <c r="B19" s="78">
        <v>0</v>
      </c>
      <c r="C19" s="77"/>
      <c r="D19" s="77"/>
      <c r="E19" s="77"/>
      <c r="F19" s="78">
        <v>0</v>
      </c>
      <c r="G19" s="77"/>
      <c r="H19" s="77"/>
      <c r="I19" s="77"/>
      <c r="J19" s="78">
        <f>+[3]Review!$T$16</f>
        <v>-49.86</v>
      </c>
      <c r="K19" s="77"/>
      <c r="L19" s="77"/>
      <c r="M19" s="77"/>
    </row>
    <row r="20" spans="1:13" ht="15.75">
      <c r="A20" s="75" t="s">
        <v>47</v>
      </c>
      <c r="B20" s="78">
        <v>0</v>
      </c>
      <c r="C20" s="77"/>
      <c r="D20" s="77"/>
      <c r="E20" s="77"/>
      <c r="F20" s="78">
        <v>0</v>
      </c>
      <c r="G20" s="77"/>
      <c r="H20" s="77"/>
      <c r="I20" s="77"/>
      <c r="J20" s="78">
        <f>+[3]Review!$P$16</f>
        <v>4263.8500000000004</v>
      </c>
      <c r="K20" s="77"/>
      <c r="L20" s="77"/>
      <c r="M20" s="77"/>
    </row>
    <row r="21" spans="1:13" ht="15.75">
      <c r="A21" s="75" t="s">
        <v>48</v>
      </c>
      <c r="B21" s="78">
        <v>726.5</v>
      </c>
      <c r="C21" s="77"/>
      <c r="D21" s="77"/>
      <c r="E21" s="77"/>
      <c r="F21" s="78">
        <v>1052.56</v>
      </c>
      <c r="G21" s="77"/>
      <c r="H21" s="77"/>
      <c r="I21" s="77"/>
      <c r="J21" s="78">
        <f>+[3]Review!$W$16</f>
        <v>827.08</v>
      </c>
      <c r="K21" s="77"/>
      <c r="L21" s="77"/>
      <c r="M21" s="77"/>
    </row>
    <row r="22" spans="1:13" ht="15.75">
      <c r="A22" s="75" t="s">
        <v>49</v>
      </c>
      <c r="B22" s="78">
        <v>637</v>
      </c>
      <c r="C22" s="77"/>
      <c r="D22" s="77"/>
      <c r="E22" s="77"/>
      <c r="F22" s="78">
        <v>274</v>
      </c>
      <c r="G22" s="77"/>
      <c r="H22" s="77"/>
      <c r="I22" s="77"/>
      <c r="J22" s="78">
        <f>+[3]Review!$R$16</f>
        <v>682</v>
      </c>
      <c r="K22" s="77"/>
      <c r="L22" s="77"/>
      <c r="M22" s="77"/>
    </row>
    <row r="23" spans="1:13" ht="15.75">
      <c r="A23" s="75" t="s">
        <v>50</v>
      </c>
      <c r="B23" s="78">
        <v>1404</v>
      </c>
      <c r="C23" s="77"/>
      <c r="D23" s="77"/>
      <c r="E23" s="77"/>
      <c r="F23" s="78">
        <v>1222</v>
      </c>
      <c r="G23" s="77"/>
      <c r="H23" s="77"/>
      <c r="I23" s="77"/>
      <c r="J23" s="78">
        <f>+[3]Review!$S$16</f>
        <v>8675.1299999999992</v>
      </c>
      <c r="K23" s="77"/>
      <c r="L23" s="77"/>
      <c r="M23" s="77"/>
    </row>
    <row r="24" spans="1:13" ht="15.75">
      <c r="A24" s="81" t="s">
        <v>51</v>
      </c>
      <c r="B24" s="78">
        <v>0</v>
      </c>
      <c r="C24" s="81"/>
      <c r="D24" s="81"/>
      <c r="E24" s="81"/>
      <c r="F24" s="78">
        <v>0</v>
      </c>
      <c r="G24" s="81"/>
      <c r="H24" s="81"/>
      <c r="I24" s="81"/>
      <c r="J24" s="78">
        <f>+[3]Review!$AH$16</f>
        <v>190</v>
      </c>
      <c r="K24" s="81"/>
      <c r="L24" s="81"/>
      <c r="M24" s="81"/>
    </row>
    <row r="25" spans="1:13" ht="22.5" customHeight="1">
      <c r="A25" s="72" t="s">
        <v>52</v>
      </c>
      <c r="B25" s="73"/>
      <c r="C25" s="74">
        <f>SUM(B26:B34)</f>
        <v>7136.5599999999995</v>
      </c>
      <c r="D25" s="74"/>
      <c r="E25" s="74"/>
      <c r="F25" s="73"/>
      <c r="G25" s="74">
        <f>SUM(F26:F34)</f>
        <v>0</v>
      </c>
      <c r="H25" s="74"/>
      <c r="I25" s="74"/>
      <c r="J25" s="73"/>
      <c r="K25" s="74">
        <f t="shared" ref="K25" si="1">SUM(J26:J34)</f>
        <v>4293.4799999999996</v>
      </c>
      <c r="L25" s="74"/>
      <c r="M25" s="74"/>
    </row>
    <row r="26" spans="1:13" ht="15.75">
      <c r="A26" s="75" t="s">
        <v>53</v>
      </c>
      <c r="B26" s="78">
        <f>+[3]Review!$N$16</f>
        <v>0</v>
      </c>
      <c r="C26" s="77"/>
      <c r="D26" s="77"/>
      <c r="E26" s="77"/>
      <c r="F26" s="78">
        <f>+[3]Review!$N$16</f>
        <v>0</v>
      </c>
      <c r="G26" s="77"/>
      <c r="H26" s="77"/>
      <c r="I26" s="77"/>
      <c r="J26" s="78">
        <f>+[3]Review!$N$16</f>
        <v>0</v>
      </c>
      <c r="K26" s="77"/>
      <c r="L26" s="77"/>
      <c r="M26" s="77"/>
    </row>
    <row r="27" spans="1:13" ht="15.75">
      <c r="A27" s="75" t="s">
        <v>54</v>
      </c>
      <c r="B27" s="78">
        <v>0</v>
      </c>
      <c r="C27" s="77"/>
      <c r="D27" s="77"/>
      <c r="E27" s="77"/>
      <c r="F27" s="78">
        <v>0</v>
      </c>
      <c r="G27" s="77"/>
      <c r="H27" s="77"/>
      <c r="I27" s="77"/>
      <c r="J27" s="78">
        <f>+[3]Review!$AA$16</f>
        <v>540</v>
      </c>
      <c r="K27" s="77"/>
      <c r="L27" s="77"/>
      <c r="M27" s="77"/>
    </row>
    <row r="28" spans="1:13" ht="15.75">
      <c r="A28" s="75" t="s">
        <v>55</v>
      </c>
      <c r="B28" s="78">
        <v>0</v>
      </c>
      <c r="C28" s="77"/>
      <c r="D28" s="77"/>
      <c r="E28" s="77"/>
      <c r="F28" s="78">
        <v>0</v>
      </c>
      <c r="G28" s="77"/>
      <c r="H28" s="77"/>
      <c r="I28" s="77"/>
      <c r="J28" s="78">
        <v>0</v>
      </c>
      <c r="K28" s="77"/>
      <c r="L28" s="77"/>
      <c r="M28" s="77"/>
    </row>
    <row r="29" spans="1:13" ht="15.75">
      <c r="A29" s="75" t="s">
        <v>56</v>
      </c>
      <c r="B29" s="78">
        <f>+[3]Review!$AD$16</f>
        <v>0</v>
      </c>
      <c r="C29" s="77"/>
      <c r="D29" s="77"/>
      <c r="E29" s="77"/>
      <c r="F29" s="78">
        <f>+[3]Review!$AD$16</f>
        <v>0</v>
      </c>
      <c r="G29" s="77"/>
      <c r="H29" s="77"/>
      <c r="I29" s="77"/>
      <c r="J29" s="78">
        <f>+[3]Review!$AD$16</f>
        <v>0</v>
      </c>
      <c r="K29" s="77"/>
      <c r="L29" s="77"/>
      <c r="M29" s="77"/>
    </row>
    <row r="30" spans="1:13" ht="15.75">
      <c r="A30" s="75" t="s">
        <v>57</v>
      </c>
      <c r="B30" s="78">
        <v>0</v>
      </c>
      <c r="C30" s="77"/>
      <c r="D30" s="77"/>
      <c r="E30" s="77"/>
      <c r="F30" s="78">
        <v>0</v>
      </c>
      <c r="G30" s="77"/>
      <c r="H30" s="77"/>
      <c r="I30" s="77"/>
      <c r="J30" s="78"/>
      <c r="K30" s="77"/>
      <c r="L30" s="77"/>
      <c r="M30" s="77"/>
    </row>
    <row r="31" spans="1:13" ht="15.75">
      <c r="A31" s="75" t="s">
        <v>58</v>
      </c>
      <c r="B31" s="78">
        <f>+[3]Review!$U$16</f>
        <v>0</v>
      </c>
      <c r="C31" s="77"/>
      <c r="D31" s="77"/>
      <c r="E31" s="77"/>
      <c r="F31" s="78">
        <f>+[3]Review!$U$16</f>
        <v>0</v>
      </c>
      <c r="G31" s="77"/>
      <c r="H31" s="77"/>
      <c r="I31" s="77"/>
      <c r="J31" s="78">
        <f>+[3]Review!$U$16</f>
        <v>0</v>
      </c>
      <c r="K31" s="77"/>
      <c r="L31" s="77"/>
      <c r="M31" s="77"/>
    </row>
    <row r="32" spans="1:13" ht="15.75">
      <c r="A32" s="75" t="s">
        <v>168</v>
      </c>
      <c r="B32" s="226">
        <v>2799.16</v>
      </c>
      <c r="C32" s="77"/>
      <c r="D32" s="77"/>
      <c r="E32" s="77"/>
      <c r="F32" s="78"/>
      <c r="G32" s="77"/>
      <c r="H32" s="77"/>
      <c r="I32" s="77"/>
      <c r="J32" s="78"/>
      <c r="K32" s="77"/>
      <c r="L32" s="77"/>
      <c r="M32" s="77"/>
    </row>
    <row r="33" spans="1:13" ht="15.75">
      <c r="A33" s="75" t="s">
        <v>169</v>
      </c>
      <c r="B33" s="226">
        <v>700</v>
      </c>
      <c r="C33" s="77"/>
      <c r="D33" s="77"/>
      <c r="E33" s="77"/>
      <c r="F33" s="78"/>
      <c r="G33" s="77"/>
      <c r="H33" s="77"/>
      <c r="I33" s="77"/>
      <c r="J33" s="78"/>
      <c r="K33" s="77"/>
      <c r="L33" s="77"/>
      <c r="M33" s="77"/>
    </row>
    <row r="34" spans="1:13" ht="15.75">
      <c r="A34" s="82" t="s">
        <v>59</v>
      </c>
      <c r="B34" s="78">
        <f>3517.4+120</f>
        <v>3637.4</v>
      </c>
      <c r="C34" s="83"/>
      <c r="D34" s="83"/>
      <c r="E34" s="83"/>
      <c r="F34" s="78"/>
      <c r="G34" s="83"/>
      <c r="H34" s="83"/>
      <c r="I34" s="83"/>
      <c r="J34" s="78">
        <f>+[3]Review!$AE$16+[3]Review!$AG$16</f>
        <v>3753.48</v>
      </c>
      <c r="K34" s="83"/>
      <c r="L34" s="83"/>
      <c r="M34" s="83"/>
    </row>
    <row r="35" spans="1:13" ht="24" customHeight="1">
      <c r="A35" s="72" t="s">
        <v>60</v>
      </c>
      <c r="B35" s="73"/>
      <c r="C35" s="74">
        <f>SUM(B36:B39)</f>
        <v>0</v>
      </c>
      <c r="D35" s="74"/>
      <c r="E35" s="74"/>
      <c r="F35" s="73"/>
      <c r="G35" s="74">
        <f>SUM(F36:F39)</f>
        <v>0</v>
      </c>
      <c r="H35" s="74"/>
      <c r="I35" s="74"/>
      <c r="J35" s="73"/>
      <c r="K35" s="74">
        <f>SUM(J36:J39)</f>
        <v>4680</v>
      </c>
      <c r="L35" s="74"/>
      <c r="M35" s="74"/>
    </row>
    <row r="36" spans="1:13" ht="15.75">
      <c r="A36" s="75" t="s">
        <v>61</v>
      </c>
      <c r="B36" s="78">
        <v>0</v>
      </c>
      <c r="C36" s="77"/>
      <c r="D36" s="77"/>
      <c r="E36" s="77"/>
      <c r="F36" s="78">
        <v>0</v>
      </c>
      <c r="G36" s="77"/>
      <c r="H36" s="77"/>
      <c r="I36" s="77"/>
      <c r="J36" s="78">
        <f>+[3]Review!$AF$16</f>
        <v>4680</v>
      </c>
      <c r="K36" s="77"/>
      <c r="L36" s="77"/>
      <c r="M36" s="77"/>
    </row>
    <row r="37" spans="1:13" ht="15.75">
      <c r="A37" s="75" t="s">
        <v>62</v>
      </c>
      <c r="B37" s="78">
        <f>+[3]Review!$Z$16</f>
        <v>0</v>
      </c>
      <c r="C37" s="77"/>
      <c r="D37" s="77"/>
      <c r="E37" s="77"/>
      <c r="F37" s="78">
        <f>+[3]Review!$Z$16</f>
        <v>0</v>
      </c>
      <c r="G37" s="77"/>
      <c r="H37" s="77"/>
      <c r="I37" s="77"/>
      <c r="J37" s="78">
        <f>+[3]Review!$Z$16</f>
        <v>0</v>
      </c>
      <c r="K37" s="77"/>
      <c r="L37" s="77"/>
      <c r="M37" s="77"/>
    </row>
    <row r="38" spans="1:13" ht="15.75">
      <c r="A38" s="75" t="s">
        <v>63</v>
      </c>
      <c r="B38" s="78">
        <f>0</f>
        <v>0</v>
      </c>
      <c r="C38" s="77"/>
      <c r="D38" s="77"/>
      <c r="E38" s="77"/>
      <c r="F38" s="78">
        <f>0</f>
        <v>0</v>
      </c>
      <c r="G38" s="77"/>
      <c r="H38" s="77"/>
      <c r="I38" s="77"/>
      <c r="J38" s="78">
        <f>0</f>
        <v>0</v>
      </c>
      <c r="K38" s="77"/>
      <c r="L38" s="77"/>
      <c r="M38" s="77"/>
    </row>
    <row r="39" spans="1:13" ht="15.75">
      <c r="A39" s="75" t="s">
        <v>64</v>
      </c>
      <c r="B39" s="78">
        <v>0</v>
      </c>
      <c r="C39" s="77"/>
      <c r="D39" s="77"/>
      <c r="E39" s="77"/>
      <c r="F39" s="78">
        <v>0</v>
      </c>
      <c r="G39" s="77"/>
      <c r="H39" s="77"/>
      <c r="I39" s="77"/>
      <c r="J39" s="78">
        <v>0</v>
      </c>
      <c r="K39" s="77"/>
      <c r="L39" s="77"/>
      <c r="M39" s="77"/>
    </row>
    <row r="40" spans="1:13" ht="15.75">
      <c r="A40" s="84" t="s">
        <v>65</v>
      </c>
      <c r="B40" s="85"/>
      <c r="C40" s="86">
        <f>SUM(C6:C39)</f>
        <v>61592.909999999989</v>
      </c>
      <c r="D40" s="87"/>
      <c r="E40" s="87"/>
      <c r="F40" s="85"/>
      <c r="G40" s="86">
        <f>SUM(G6:G39)</f>
        <v>46375.679999999993</v>
      </c>
      <c r="H40" s="87"/>
      <c r="I40" s="87"/>
      <c r="J40" s="85"/>
      <c r="K40" s="86">
        <f>SUM(K6:K39)</f>
        <v>88147.64</v>
      </c>
      <c r="L40" s="87"/>
      <c r="M40" s="87"/>
    </row>
    <row r="41" spans="1:13">
      <c r="A41" s="88"/>
      <c r="B41" s="89"/>
      <c r="C41" s="90"/>
      <c r="D41" s="91"/>
      <c r="E41" s="91"/>
      <c r="F41" s="89"/>
      <c r="G41" s="90"/>
      <c r="H41" s="91"/>
      <c r="I41" s="91"/>
      <c r="J41" s="89"/>
      <c r="K41" s="90"/>
      <c r="L41" s="91"/>
      <c r="M41" s="91"/>
    </row>
    <row r="42" spans="1:13">
      <c r="A42" s="69"/>
      <c r="B42" s="70"/>
      <c r="C42" s="69"/>
      <c r="D42" s="69"/>
      <c r="E42" s="69"/>
      <c r="F42" s="70"/>
      <c r="G42" s="69"/>
      <c r="H42" s="69"/>
      <c r="I42" s="69"/>
      <c r="J42" s="70"/>
      <c r="K42" s="69"/>
      <c r="L42" s="69"/>
      <c r="M42" s="69"/>
    </row>
    <row r="43" spans="1:13">
      <c r="A43" s="92" t="s">
        <v>66</v>
      </c>
      <c r="B43" s="255">
        <f>+B4</f>
        <v>2025</v>
      </c>
      <c r="C43" s="255"/>
      <c r="D43" s="23"/>
      <c r="E43" s="23"/>
      <c r="F43" s="255">
        <f>+F4</f>
        <v>2024</v>
      </c>
      <c r="G43" s="255"/>
      <c r="H43" s="23"/>
      <c r="I43" s="23"/>
      <c r="J43" s="255">
        <f>+J4</f>
        <v>2023</v>
      </c>
      <c r="K43" s="255"/>
      <c r="L43" s="23"/>
      <c r="M43" s="23"/>
    </row>
    <row r="44" spans="1:13">
      <c r="A44" s="93"/>
      <c r="B44" s="251" t="s">
        <v>3</v>
      </c>
      <c r="C44" s="252"/>
      <c r="D44" s="93"/>
      <c r="E44" s="93"/>
      <c r="F44" s="251" t="s">
        <v>3</v>
      </c>
      <c r="G44" s="252"/>
      <c r="H44" s="93"/>
      <c r="I44" s="93"/>
      <c r="J44" s="251" t="s">
        <v>3</v>
      </c>
      <c r="K44" s="252"/>
      <c r="L44" s="93"/>
      <c r="M44" s="93"/>
    </row>
    <row r="45" spans="1:13" ht="26.25" customHeight="1">
      <c r="A45" s="94" t="s">
        <v>67</v>
      </c>
      <c r="B45" s="95"/>
      <c r="C45" s="96">
        <f>SUM(B46:B50)</f>
        <v>2752.81</v>
      </c>
      <c r="D45" s="96"/>
      <c r="E45" s="96"/>
      <c r="F45" s="95"/>
      <c r="G45" s="96">
        <v>2810</v>
      </c>
      <c r="H45" s="96"/>
      <c r="I45" s="96"/>
      <c r="J45" s="95"/>
      <c r="K45" s="96">
        <f t="shared" ref="K45" si="2">SUM(J46:J50)</f>
        <v>2400</v>
      </c>
      <c r="L45" s="96"/>
      <c r="M45" s="96"/>
    </row>
    <row r="46" spans="1:13">
      <c r="A46" s="97" t="s">
        <v>68</v>
      </c>
      <c r="B46" s="98">
        <f>1800+52.81</f>
        <v>1852.81</v>
      </c>
      <c r="C46" s="98"/>
      <c r="D46" s="98"/>
      <c r="E46" s="98"/>
      <c r="F46" s="98">
        <f>+[1]Review!$D$16</f>
        <v>2400</v>
      </c>
      <c r="G46" s="98"/>
      <c r="H46" s="98"/>
      <c r="I46" s="98"/>
      <c r="J46" s="98">
        <f>+[1]Review!$D$16</f>
        <v>2400</v>
      </c>
      <c r="K46" s="98"/>
      <c r="L46" s="98"/>
      <c r="M46" s="98"/>
    </row>
    <row r="47" spans="1:13">
      <c r="A47" s="97" t="s">
        <v>69</v>
      </c>
      <c r="B47" s="98">
        <v>0</v>
      </c>
      <c r="C47" s="98"/>
      <c r="D47" s="98"/>
      <c r="E47" s="98"/>
      <c r="F47" s="98">
        <v>50</v>
      </c>
      <c r="G47" s="98"/>
      <c r="H47" s="98"/>
      <c r="I47" s="98"/>
      <c r="J47" s="98"/>
      <c r="K47" s="98"/>
      <c r="L47" s="98"/>
      <c r="M47" s="98"/>
    </row>
    <row r="48" spans="1:13">
      <c r="A48" s="99" t="s">
        <v>70</v>
      </c>
      <c r="B48" s="98">
        <v>900</v>
      </c>
      <c r="C48" s="98"/>
      <c r="D48" s="98"/>
      <c r="E48" s="98"/>
      <c r="F48" s="98">
        <v>300</v>
      </c>
      <c r="G48" s="98"/>
      <c r="H48" s="98"/>
      <c r="I48" s="98"/>
      <c r="J48" s="98"/>
      <c r="K48" s="98"/>
      <c r="L48" s="98"/>
      <c r="M48" s="98"/>
    </row>
    <row r="49" spans="1:13">
      <c r="A49" s="97" t="s">
        <v>71</v>
      </c>
      <c r="B49" s="234"/>
      <c r="C49" s="98"/>
      <c r="D49" s="98"/>
      <c r="E49" s="98"/>
      <c r="F49" s="98"/>
      <c r="G49" s="98"/>
      <c r="H49" s="98"/>
      <c r="I49" s="98"/>
      <c r="J49" s="98">
        <v>0</v>
      </c>
      <c r="K49" s="98"/>
      <c r="L49" s="98"/>
      <c r="M49" s="98"/>
    </row>
    <row r="50" spans="1:13">
      <c r="A50" s="81" t="s">
        <v>72</v>
      </c>
      <c r="B50" s="98">
        <v>0</v>
      </c>
      <c r="C50" s="100"/>
      <c r="D50" s="100"/>
      <c r="E50" s="100"/>
      <c r="F50" s="98">
        <v>60</v>
      </c>
      <c r="G50" s="100"/>
      <c r="H50" s="100"/>
      <c r="I50" s="100"/>
      <c r="J50" s="98">
        <f>+[1]Review!$G$16</f>
        <v>0</v>
      </c>
      <c r="K50" s="100"/>
      <c r="L50" s="100"/>
      <c r="M50" s="100"/>
    </row>
    <row r="51" spans="1:13" ht="26.25" customHeight="1">
      <c r="A51" s="101" t="s">
        <v>73</v>
      </c>
      <c r="B51" s="102"/>
      <c r="C51" s="102">
        <f>SUM(B52:B53)</f>
        <v>21737.4</v>
      </c>
      <c r="D51" s="102"/>
      <c r="E51" s="102"/>
      <c r="F51" s="102"/>
      <c r="G51" s="102">
        <f>SUM(F52:F53)</f>
        <v>26901</v>
      </c>
      <c r="H51" s="102"/>
      <c r="I51" s="102"/>
      <c r="J51" s="102"/>
      <c r="K51" s="102">
        <f>SUM(J52:J53)</f>
        <v>42940.08</v>
      </c>
      <c r="L51" s="102"/>
      <c r="M51" s="102"/>
    </row>
    <row r="52" spans="1:13" ht="15" customHeight="1">
      <c r="A52" s="97" t="s">
        <v>74</v>
      </c>
      <c r="B52" s="98"/>
      <c r="C52" s="102"/>
      <c r="D52" s="102"/>
      <c r="E52" s="102"/>
      <c r="F52" s="98"/>
      <c r="G52" s="102"/>
      <c r="H52" s="102"/>
      <c r="I52" s="102"/>
      <c r="J52" s="98"/>
      <c r="K52" s="102"/>
      <c r="L52" s="102"/>
      <c r="M52" s="102"/>
    </row>
    <row r="53" spans="1:13">
      <c r="A53" s="81" t="s">
        <v>75</v>
      </c>
      <c r="B53" s="234">
        <f>6500+2799.16+700+3199.13+5300+3239.11</f>
        <v>21737.4</v>
      </c>
      <c r="C53" s="100"/>
      <c r="D53" s="100"/>
      <c r="E53" s="100"/>
      <c r="F53" s="98">
        <v>26901</v>
      </c>
      <c r="G53" s="100"/>
      <c r="H53" s="100"/>
      <c r="I53" s="100"/>
      <c r="J53" s="98">
        <f>+[1]Review!$H$16+13925.49</f>
        <v>42940.08</v>
      </c>
      <c r="K53" s="100"/>
      <c r="L53" s="100"/>
      <c r="M53" s="100"/>
    </row>
    <row r="54" spans="1:13" ht="26.25" customHeight="1">
      <c r="A54" s="101" t="s">
        <v>76</v>
      </c>
      <c r="B54" s="102"/>
      <c r="C54" s="102">
        <f>B55</f>
        <v>0</v>
      </c>
      <c r="D54" s="102"/>
      <c r="E54" s="102"/>
      <c r="F54" s="102"/>
      <c r="G54" s="102">
        <f>F55</f>
        <v>0</v>
      </c>
      <c r="H54" s="102"/>
      <c r="I54" s="102"/>
      <c r="J54" s="102"/>
      <c r="K54" s="102">
        <f>J55</f>
        <v>0</v>
      </c>
      <c r="L54" s="102"/>
      <c r="M54" s="102"/>
    </row>
    <row r="55" spans="1:13">
      <c r="A55" s="81" t="s">
        <v>77</v>
      </c>
      <c r="B55" s="98">
        <f>+[1]Review!$I$16</f>
        <v>0</v>
      </c>
      <c r="C55" s="100"/>
      <c r="D55" s="100"/>
      <c r="E55" s="100"/>
      <c r="F55" s="98">
        <f>+[1]Review!$I$16</f>
        <v>0</v>
      </c>
      <c r="G55" s="100"/>
      <c r="H55" s="100"/>
      <c r="I55" s="100"/>
      <c r="J55" s="98">
        <f>+[1]Review!$I$16</f>
        <v>0</v>
      </c>
      <c r="K55" s="100"/>
      <c r="L55" s="100"/>
      <c r="M55" s="100"/>
    </row>
    <row r="56" spans="1:13" ht="27.75" customHeight="1">
      <c r="A56" s="101" t="s">
        <v>78</v>
      </c>
      <c r="B56" s="102"/>
      <c r="C56" s="103">
        <f>SUM(B57:B59)</f>
        <v>2220.2299999999996</v>
      </c>
      <c r="D56" s="103"/>
      <c r="E56" s="103"/>
      <c r="F56" s="102"/>
      <c r="G56" s="103">
        <f>SUM(F57:F59)</f>
        <v>443</v>
      </c>
      <c r="H56" s="103"/>
      <c r="I56" s="103"/>
      <c r="J56" s="102"/>
      <c r="K56" s="103">
        <f t="shared" ref="K56" si="3">SUM(J57:J59)</f>
        <v>1153.3800000000001</v>
      </c>
      <c r="L56" s="103"/>
      <c r="M56" s="103"/>
    </row>
    <row r="57" spans="1:13">
      <c r="A57" s="97" t="s">
        <v>79</v>
      </c>
      <c r="B57" s="98">
        <f>1723.86+80.6+415.77</f>
        <v>2220.2299999999996</v>
      </c>
      <c r="C57" s="98"/>
      <c r="D57" s="98"/>
      <c r="E57" s="98"/>
      <c r="F57" s="98">
        <f>162.64+280.36</f>
        <v>443</v>
      </c>
      <c r="G57" s="98"/>
      <c r="H57" s="98"/>
      <c r="I57" s="98"/>
      <c r="J57" s="98">
        <f>+[1]Review!$J$16</f>
        <v>1153.3800000000001</v>
      </c>
      <c r="K57" s="98"/>
      <c r="L57" s="98"/>
      <c r="M57" s="98"/>
    </row>
    <row r="58" spans="1:13">
      <c r="A58" s="97" t="s">
        <v>80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</row>
    <row r="59" spans="1:13">
      <c r="A59" s="81" t="s">
        <v>81</v>
      </c>
      <c r="B59" s="100">
        <f>+[1]Review!$K$16</f>
        <v>0</v>
      </c>
      <c r="C59" s="100"/>
      <c r="D59" s="100"/>
      <c r="E59" s="100"/>
      <c r="F59" s="100">
        <f>+[1]Review!$K$16</f>
        <v>0</v>
      </c>
      <c r="G59" s="100"/>
      <c r="H59" s="100"/>
      <c r="I59" s="100"/>
      <c r="J59" s="100">
        <f>+[1]Review!$K$16</f>
        <v>0</v>
      </c>
      <c r="K59" s="100"/>
      <c r="L59" s="100"/>
      <c r="M59" s="100"/>
    </row>
    <row r="60" spans="1:13" ht="26.25" customHeight="1">
      <c r="A60" s="101" t="s">
        <v>82</v>
      </c>
      <c r="B60" s="102"/>
      <c r="C60" s="103">
        <f>SUM(B61:B66)</f>
        <v>1179</v>
      </c>
      <c r="D60" s="103"/>
      <c r="E60" s="103"/>
      <c r="F60" s="102"/>
      <c r="G60" s="103">
        <f>SUM(F61:F66)</f>
        <v>250</v>
      </c>
      <c r="H60" s="103"/>
      <c r="I60" s="103"/>
      <c r="J60" s="102"/>
      <c r="K60" s="103">
        <f>SUM(J61:J66)</f>
        <v>1792.0700000000002</v>
      </c>
      <c r="L60" s="103"/>
      <c r="M60" s="103"/>
    </row>
    <row r="61" spans="1:13">
      <c r="A61" s="97" t="s">
        <v>83</v>
      </c>
      <c r="B61" s="98">
        <f>+[1]Review!$M$16</f>
        <v>0</v>
      </c>
      <c r="C61" s="98"/>
      <c r="D61" s="98"/>
      <c r="E61" s="98"/>
      <c r="F61" s="98">
        <f>+[1]Review!$M$16</f>
        <v>0</v>
      </c>
      <c r="G61" s="98"/>
      <c r="H61" s="98"/>
      <c r="I61" s="98"/>
      <c r="J61" s="98">
        <f>+[1]Review!$M$16</f>
        <v>0</v>
      </c>
      <c r="K61" s="98"/>
      <c r="L61" s="98"/>
      <c r="M61" s="98"/>
    </row>
    <row r="62" spans="1:13">
      <c r="A62" s="97" t="s">
        <v>84</v>
      </c>
      <c r="B62" s="98">
        <f>+[1]Review!$N$16</f>
        <v>0</v>
      </c>
      <c r="C62" s="98"/>
      <c r="D62" s="98"/>
      <c r="E62" s="98"/>
      <c r="F62" s="98">
        <f>+[1]Review!$N$16</f>
        <v>0</v>
      </c>
      <c r="G62" s="98"/>
      <c r="H62" s="98"/>
      <c r="I62" s="98"/>
      <c r="J62" s="98">
        <f>+[1]Review!$N$16</f>
        <v>0</v>
      </c>
      <c r="K62" s="98"/>
      <c r="L62" s="98"/>
      <c r="M62" s="98"/>
    </row>
    <row r="63" spans="1:13">
      <c r="A63" s="97" t="s">
        <v>85</v>
      </c>
      <c r="B63" s="98">
        <f>+[1]Review!$O$16</f>
        <v>0</v>
      </c>
      <c r="C63" s="98"/>
      <c r="D63" s="98"/>
      <c r="E63" s="98"/>
      <c r="F63" s="98">
        <f>+[1]Review!$O$16</f>
        <v>0</v>
      </c>
      <c r="G63" s="98"/>
      <c r="H63" s="98"/>
      <c r="I63" s="98"/>
      <c r="J63" s="98">
        <f>+[1]Review!$O$16</f>
        <v>0</v>
      </c>
      <c r="K63" s="98"/>
      <c r="L63" s="98"/>
      <c r="M63" s="98"/>
    </row>
    <row r="64" spans="1:13">
      <c r="A64" s="97" t="s">
        <v>86</v>
      </c>
      <c r="B64" s="98">
        <v>0</v>
      </c>
      <c r="C64" s="98"/>
      <c r="D64" s="98"/>
      <c r="E64" s="98"/>
      <c r="F64" s="98">
        <f>480+60-540</f>
        <v>0</v>
      </c>
      <c r="G64" s="98"/>
      <c r="H64" s="98"/>
      <c r="I64" s="98"/>
      <c r="J64" s="98">
        <f>+[1]Review!$P$16+[1]Review!$Q$16</f>
        <v>206.44</v>
      </c>
      <c r="K64" s="98"/>
      <c r="L64" s="98"/>
      <c r="M64" s="98"/>
    </row>
    <row r="65" spans="1:13">
      <c r="A65" s="97" t="s">
        <v>87</v>
      </c>
      <c r="B65" s="98">
        <v>0</v>
      </c>
      <c r="C65" s="98"/>
      <c r="D65" s="98"/>
      <c r="E65" s="98"/>
      <c r="F65" s="98">
        <v>250</v>
      </c>
      <c r="G65" s="98"/>
      <c r="H65" s="98"/>
      <c r="I65" s="98"/>
      <c r="J65" s="98">
        <f>+[1]Review!$AH$16</f>
        <v>0</v>
      </c>
      <c r="K65" s="98"/>
      <c r="L65" s="98"/>
      <c r="M65" s="98"/>
    </row>
    <row r="66" spans="1:13">
      <c r="A66" s="97" t="s">
        <v>88</v>
      </c>
      <c r="B66" s="98">
        <v>1179</v>
      </c>
      <c r="C66" s="98"/>
      <c r="D66" s="98"/>
      <c r="E66" s="98"/>
      <c r="F66" s="98">
        <v>0</v>
      </c>
      <c r="G66" s="98"/>
      <c r="H66" s="98"/>
      <c r="I66" s="98"/>
      <c r="J66" s="98">
        <f>+[1]Review!$R$16</f>
        <v>1585.63</v>
      </c>
      <c r="K66" s="98"/>
      <c r="L66" s="98"/>
      <c r="M66" s="98"/>
    </row>
    <row r="67" spans="1:13" ht="26.25" customHeight="1">
      <c r="A67" s="101" t="s">
        <v>89</v>
      </c>
      <c r="B67" s="102"/>
      <c r="C67" s="103">
        <f>SUM(B68:B70)</f>
        <v>1838.21</v>
      </c>
      <c r="D67" s="103"/>
      <c r="E67" s="103"/>
      <c r="F67" s="102"/>
      <c r="G67" s="103">
        <f>SUM(F68:F70)</f>
        <v>404.63</v>
      </c>
      <c r="H67" s="103"/>
      <c r="I67" s="103"/>
      <c r="J67" s="102"/>
      <c r="K67" s="103">
        <f>SUM(J68:J70)</f>
        <v>1607.21</v>
      </c>
      <c r="L67" s="103"/>
      <c r="M67" s="103"/>
    </row>
    <row r="68" spans="1:13">
      <c r="A68" s="97" t="s">
        <v>90</v>
      </c>
      <c r="B68" s="98">
        <v>1697.56</v>
      </c>
      <c r="C68" s="98"/>
      <c r="D68" s="98"/>
      <c r="E68" s="98"/>
      <c r="F68" s="98">
        <v>46.76</v>
      </c>
      <c r="G68" s="98"/>
      <c r="H68" s="98"/>
      <c r="I68" s="98"/>
      <c r="J68" s="98">
        <f>+[1]Review!$Y$16</f>
        <v>1341.75</v>
      </c>
      <c r="K68" s="98"/>
      <c r="L68" s="98"/>
      <c r="M68" s="98"/>
    </row>
    <row r="69" spans="1:13">
      <c r="A69" s="97" t="s">
        <v>91</v>
      </c>
      <c r="B69" s="98">
        <v>93.26</v>
      </c>
      <c r="C69" s="98"/>
      <c r="D69" s="98"/>
      <c r="E69" s="98"/>
      <c r="F69" s="98">
        <v>293.2</v>
      </c>
      <c r="G69" s="98"/>
      <c r="H69" s="98"/>
      <c r="I69" s="98"/>
      <c r="J69" s="98">
        <f>+[1]Review!$AD$16</f>
        <v>265.45999999999998</v>
      </c>
      <c r="K69" s="98"/>
      <c r="L69" s="98"/>
      <c r="M69" s="98"/>
    </row>
    <row r="70" spans="1:13">
      <c r="A70" s="104" t="s">
        <v>92</v>
      </c>
      <c r="B70" s="105">
        <v>47.39</v>
      </c>
      <c r="C70" s="105"/>
      <c r="D70" s="105"/>
      <c r="E70" s="105"/>
      <c r="F70" s="105">
        <f>31.32+33.35</f>
        <v>64.67</v>
      </c>
      <c r="G70" s="105"/>
      <c r="H70" s="105"/>
      <c r="I70" s="105"/>
      <c r="J70" s="105">
        <f>+[1]Review!$AC$16</f>
        <v>0</v>
      </c>
      <c r="K70" s="105"/>
      <c r="L70" s="105"/>
      <c r="M70" s="105"/>
    </row>
    <row r="71" spans="1:13" ht="22.5" customHeight="1">
      <c r="A71" s="94" t="s">
        <v>93</v>
      </c>
      <c r="B71" s="95"/>
      <c r="C71" s="96">
        <f>SUM(B72:B80)</f>
        <v>18915.599999999999</v>
      </c>
      <c r="D71" s="96"/>
      <c r="E71" s="96"/>
      <c r="F71" s="95"/>
      <c r="G71" s="96">
        <f>SUM(F72:F80)</f>
        <v>24166.48</v>
      </c>
      <c r="H71" s="96"/>
      <c r="I71" s="96"/>
      <c r="J71" s="95"/>
      <c r="K71" s="96">
        <f t="shared" ref="K71" si="4">SUM(J72:J80)</f>
        <v>20479.22</v>
      </c>
      <c r="L71" s="96"/>
      <c r="M71" s="96"/>
    </row>
    <row r="72" spans="1:13">
      <c r="A72" s="97" t="s">
        <v>94</v>
      </c>
      <c r="B72" s="98">
        <v>8114.44</v>
      </c>
      <c r="C72" s="98"/>
      <c r="D72" s="98"/>
      <c r="E72" s="98"/>
      <c r="F72" s="98">
        <v>14755.36</v>
      </c>
      <c r="G72" s="98"/>
      <c r="H72" s="98"/>
      <c r="I72" s="98"/>
      <c r="J72" s="98">
        <f>+[1]Review!$AE$16</f>
        <v>5291.29</v>
      </c>
      <c r="K72" s="98"/>
      <c r="L72" s="98"/>
      <c r="M72" s="98"/>
    </row>
    <row r="73" spans="1:13">
      <c r="A73" s="97" t="s">
        <v>95</v>
      </c>
      <c r="B73" s="98">
        <v>951.34</v>
      </c>
      <c r="C73" s="98"/>
      <c r="D73" s="98"/>
      <c r="E73" s="98"/>
      <c r="F73" s="98">
        <v>828.42</v>
      </c>
      <c r="G73" s="98"/>
      <c r="H73" s="98"/>
      <c r="I73" s="98"/>
      <c r="J73" s="98">
        <f>+[1]Review!$U$16</f>
        <v>509.56</v>
      </c>
      <c r="K73" s="98"/>
      <c r="L73" s="98"/>
      <c r="M73" s="98"/>
    </row>
    <row r="74" spans="1:13">
      <c r="A74" s="97" t="s">
        <v>96</v>
      </c>
      <c r="B74" s="98">
        <v>5266.39</v>
      </c>
      <c r="C74" s="98"/>
      <c r="D74" s="98"/>
      <c r="E74" s="98"/>
      <c r="F74" s="98">
        <v>5109.7299999999996</v>
      </c>
      <c r="G74" s="98"/>
      <c r="H74" s="98"/>
      <c r="I74" s="98"/>
      <c r="J74" s="98">
        <f>+[1]Review!$V$16</f>
        <v>5090.47</v>
      </c>
      <c r="K74" s="98"/>
      <c r="L74" s="98"/>
      <c r="M74" s="98"/>
    </row>
    <row r="75" spans="1:13">
      <c r="A75" s="97" t="s">
        <v>97</v>
      </c>
      <c r="B75" s="98">
        <v>1367.81</v>
      </c>
      <c r="C75" s="98"/>
      <c r="D75" s="98"/>
      <c r="E75" s="98"/>
      <c r="F75" s="98">
        <v>1884.35</v>
      </c>
      <c r="G75" s="98"/>
      <c r="H75" s="98"/>
      <c r="I75" s="98"/>
      <c r="J75" s="98">
        <f>+[1]Review!$W$16</f>
        <v>5993.88</v>
      </c>
      <c r="K75" s="98"/>
      <c r="L75" s="98"/>
      <c r="M75" s="98"/>
    </row>
    <row r="76" spans="1:13">
      <c r="A76" s="97" t="s">
        <v>98</v>
      </c>
      <c r="B76" s="98">
        <f>+[1]Review!$Z$16</f>
        <v>0</v>
      </c>
      <c r="C76" s="98"/>
      <c r="D76" s="98"/>
      <c r="E76" s="98"/>
      <c r="F76" s="98">
        <f>+[1]Review!$Z$16</f>
        <v>0</v>
      </c>
      <c r="G76" s="98"/>
      <c r="H76" s="98"/>
      <c r="I76" s="98"/>
      <c r="J76" s="98">
        <f>+[1]Review!$Z$16</f>
        <v>0</v>
      </c>
      <c r="K76" s="98"/>
      <c r="L76" s="98"/>
      <c r="M76" s="98"/>
    </row>
    <row r="77" spans="1:13">
      <c r="A77" s="97" t="s">
        <v>99</v>
      </c>
      <c r="B77" s="98">
        <v>295.33</v>
      </c>
      <c r="C77" s="98"/>
      <c r="D77" s="98"/>
      <c r="E77" s="98"/>
      <c r="F77" s="98">
        <v>1083.77</v>
      </c>
      <c r="G77" s="98"/>
      <c r="H77" s="98"/>
      <c r="I77" s="98"/>
      <c r="J77" s="98">
        <f>+[1]Review!$AA$16</f>
        <v>154.69</v>
      </c>
      <c r="K77" s="98"/>
      <c r="L77" s="98"/>
      <c r="M77" s="98"/>
    </row>
    <row r="78" spans="1:13">
      <c r="A78" s="97" t="s">
        <v>100</v>
      </c>
      <c r="B78" s="234">
        <v>2285</v>
      </c>
      <c r="C78" s="98"/>
      <c r="D78" s="98"/>
      <c r="E78" s="98"/>
      <c r="F78" s="98">
        <v>0</v>
      </c>
      <c r="G78" s="98"/>
      <c r="H78" s="98"/>
      <c r="I78" s="98"/>
      <c r="J78" s="98">
        <f>+[1]Review!$X$16</f>
        <v>2108</v>
      </c>
      <c r="K78" s="98"/>
      <c r="L78" s="98"/>
      <c r="M78" s="98"/>
    </row>
    <row r="79" spans="1:13">
      <c r="A79" s="97" t="s">
        <v>101</v>
      </c>
      <c r="B79" s="98">
        <v>620.29</v>
      </c>
      <c r="C79" s="98"/>
      <c r="D79" s="98"/>
      <c r="E79" s="98"/>
      <c r="F79" s="98">
        <v>310</v>
      </c>
      <c r="G79" s="98"/>
      <c r="H79" s="98"/>
      <c r="I79" s="98"/>
      <c r="J79" s="98">
        <f>+[1]Review!$AQ$16</f>
        <v>753.4</v>
      </c>
      <c r="K79" s="98"/>
      <c r="L79" s="98"/>
      <c r="M79" s="98"/>
    </row>
    <row r="80" spans="1:13">
      <c r="A80" s="81" t="s">
        <v>102</v>
      </c>
      <c r="B80" s="270">
        <f>471-456</f>
        <v>15</v>
      </c>
      <c r="C80" s="100"/>
      <c r="D80" s="100"/>
      <c r="E80" s="100"/>
      <c r="F80" s="100">
        <v>194.85</v>
      </c>
      <c r="G80" s="100"/>
      <c r="H80" s="100"/>
      <c r="I80" s="100"/>
      <c r="J80" s="100">
        <f>+[1]Review!$AK$16+[1]Review!$AF$16</f>
        <v>577.92999999999995</v>
      </c>
      <c r="K80" s="100"/>
      <c r="L80" s="100"/>
      <c r="M80" s="100"/>
    </row>
    <row r="81" spans="1:14" ht="26.25" customHeight="1">
      <c r="A81" s="101" t="s">
        <v>103</v>
      </c>
      <c r="B81" s="102"/>
      <c r="C81" s="103">
        <f>SUM(B82:B84)</f>
        <v>1363</v>
      </c>
      <c r="D81" s="103"/>
      <c r="E81" s="103"/>
      <c r="F81" s="102"/>
      <c r="G81" s="103">
        <f>SUM(F82:F84)</f>
        <v>1522.44</v>
      </c>
      <c r="H81" s="103"/>
      <c r="I81" s="103"/>
      <c r="J81" s="102"/>
      <c r="K81" s="103">
        <f>SUM(J82:J84)</f>
        <v>254.45</v>
      </c>
      <c r="L81" s="103"/>
      <c r="M81" s="103"/>
    </row>
    <row r="82" spans="1:14">
      <c r="A82" s="97" t="s">
        <v>104</v>
      </c>
      <c r="B82" s="98">
        <v>1363</v>
      </c>
      <c r="C82" s="98"/>
      <c r="D82" s="98"/>
      <c r="E82" s="98"/>
      <c r="F82" s="98">
        <v>1450</v>
      </c>
      <c r="G82" s="98"/>
      <c r="H82" s="98"/>
      <c r="I82" s="98"/>
      <c r="J82" s="98">
        <f>+[1]Review!$AP$16</f>
        <v>157</v>
      </c>
      <c r="K82" s="98"/>
      <c r="L82" s="98"/>
      <c r="M82" s="98"/>
    </row>
    <row r="83" spans="1:14">
      <c r="A83" s="97" t="s">
        <v>46</v>
      </c>
      <c r="B83" s="98">
        <v>0</v>
      </c>
      <c r="C83" s="98"/>
      <c r="D83" s="98"/>
      <c r="E83" s="98"/>
      <c r="F83" s="98">
        <v>72.44</v>
      </c>
      <c r="G83" s="98"/>
      <c r="H83" s="98"/>
      <c r="I83" s="98"/>
      <c r="J83" s="98">
        <f>+[1]Review!$AG$16</f>
        <v>97.45</v>
      </c>
      <c r="K83" s="98"/>
      <c r="L83" s="98"/>
      <c r="M83" s="98"/>
    </row>
    <row r="84" spans="1:14">
      <c r="A84" s="81" t="s">
        <v>51</v>
      </c>
      <c r="B84" s="98">
        <f>+[1]Review!$AO$16</f>
        <v>0</v>
      </c>
      <c r="C84" s="98"/>
      <c r="D84" s="98"/>
      <c r="E84" s="98"/>
      <c r="F84" s="98">
        <f>+[1]Review!$AO$16</f>
        <v>0</v>
      </c>
      <c r="G84" s="98"/>
      <c r="H84" s="98"/>
      <c r="I84" s="98"/>
      <c r="J84" s="98">
        <f>+[1]Review!$AO$16</f>
        <v>0</v>
      </c>
      <c r="K84" s="98"/>
      <c r="L84" s="98"/>
      <c r="M84" s="98"/>
    </row>
    <row r="85" spans="1:14" ht="26.25" customHeight="1">
      <c r="A85" s="94" t="s">
        <v>105</v>
      </c>
      <c r="B85" s="95"/>
      <c r="C85" s="95">
        <f>B86</f>
        <v>0</v>
      </c>
      <c r="D85" s="95"/>
      <c r="E85" s="95"/>
      <c r="F85" s="95"/>
      <c r="G85" s="95">
        <f>F86</f>
        <v>360</v>
      </c>
      <c r="H85" s="95"/>
      <c r="I85" s="95"/>
      <c r="J85" s="95"/>
      <c r="K85" s="95">
        <f>J86</f>
        <v>1344</v>
      </c>
      <c r="L85" s="95"/>
      <c r="M85" s="95"/>
    </row>
    <row r="86" spans="1:14">
      <c r="A86" s="81" t="s">
        <v>105</v>
      </c>
      <c r="B86" s="100">
        <v>0</v>
      </c>
      <c r="C86" s="100"/>
      <c r="D86" s="100"/>
      <c r="E86" s="100"/>
      <c r="F86" s="100">
        <v>360</v>
      </c>
      <c r="G86" s="100"/>
      <c r="H86" s="100"/>
      <c r="I86" s="100"/>
      <c r="J86" s="100">
        <f>+[1]Review!$AJ$16</f>
        <v>1344</v>
      </c>
      <c r="K86" s="100"/>
      <c r="L86" s="100"/>
      <c r="M86" s="100"/>
    </row>
    <row r="87" spans="1:14" ht="26.25" customHeight="1">
      <c r="A87" s="101" t="s">
        <v>106</v>
      </c>
      <c r="B87" s="102"/>
      <c r="C87" s="96">
        <f>SUM(B88:B89)</f>
        <v>1621.56</v>
      </c>
      <c r="D87" s="96"/>
      <c r="E87" s="96"/>
      <c r="F87" s="102"/>
      <c r="G87" s="96">
        <f>SUM(F88:F89)</f>
        <v>3850.8</v>
      </c>
      <c r="H87" s="96"/>
      <c r="I87" s="96"/>
      <c r="J87" s="102"/>
      <c r="K87" s="96">
        <f>SUM(J88:J89)</f>
        <v>4680</v>
      </c>
      <c r="L87" s="96"/>
      <c r="M87" s="96"/>
    </row>
    <row r="88" spans="1:14">
      <c r="A88" s="97" t="s">
        <v>107</v>
      </c>
      <c r="B88" s="234">
        <v>1621.56</v>
      </c>
      <c r="C88" s="98"/>
      <c r="D88" s="98"/>
      <c r="E88" s="98"/>
      <c r="F88" s="98">
        <v>3850.8</v>
      </c>
      <c r="G88" s="98"/>
      <c r="H88" s="98"/>
      <c r="I88" s="98"/>
      <c r="J88" s="98">
        <f>+[1]Review!$AI$16</f>
        <v>4680</v>
      </c>
      <c r="K88" s="98"/>
      <c r="L88" s="98"/>
      <c r="M88" s="98"/>
    </row>
    <row r="89" spans="1:14">
      <c r="A89" s="97" t="s">
        <v>108</v>
      </c>
      <c r="B89" s="98">
        <v>0</v>
      </c>
      <c r="C89" s="98"/>
      <c r="D89" s="98"/>
      <c r="E89" s="98"/>
      <c r="F89" s="98">
        <v>0</v>
      </c>
      <c r="G89" s="98"/>
      <c r="H89" s="98"/>
      <c r="I89" s="98"/>
      <c r="J89" s="98">
        <v>0</v>
      </c>
      <c r="K89" s="98"/>
      <c r="L89" s="98"/>
      <c r="M89" s="98"/>
    </row>
    <row r="90" spans="1:14" ht="26.25" customHeight="1">
      <c r="A90" s="101" t="s">
        <v>109</v>
      </c>
      <c r="B90" s="102"/>
      <c r="C90" s="96">
        <f>SUM(B91:B92)</f>
        <v>0</v>
      </c>
      <c r="D90" s="96"/>
      <c r="E90" s="96"/>
      <c r="F90" s="102"/>
      <c r="G90" s="96">
        <f>SUM(F91:F92)</f>
        <v>900</v>
      </c>
      <c r="H90" s="96"/>
      <c r="I90" s="96"/>
      <c r="J90" s="102"/>
      <c r="K90" s="96">
        <f>SUM(J91:J92)</f>
        <v>1200</v>
      </c>
      <c r="L90" s="96"/>
      <c r="M90" s="96"/>
    </row>
    <row r="91" spans="1:14" ht="15.75">
      <c r="A91" s="75" t="s">
        <v>110</v>
      </c>
      <c r="B91" s="78">
        <f>+[1]Review!$AL$16</f>
        <v>0</v>
      </c>
      <c r="C91" s="78"/>
      <c r="D91" s="78"/>
      <c r="E91" s="78"/>
      <c r="F91" s="78">
        <f>+[1]Review!$AL$16</f>
        <v>0</v>
      </c>
      <c r="G91" s="78"/>
      <c r="H91" s="78"/>
      <c r="I91" s="78"/>
      <c r="J91" s="78">
        <f>+[1]Review!$AL$16</f>
        <v>0</v>
      </c>
      <c r="K91" s="78"/>
      <c r="L91" s="78"/>
      <c r="M91" s="78"/>
    </row>
    <row r="92" spans="1:14">
      <c r="A92" s="97" t="s">
        <v>111</v>
      </c>
      <c r="B92" s="98">
        <v>0</v>
      </c>
      <c r="C92" s="98"/>
      <c r="D92" s="98"/>
      <c r="E92" s="98"/>
      <c r="F92" s="98">
        <f>100*9</f>
        <v>900</v>
      </c>
      <c r="G92" s="98"/>
      <c r="H92" s="98"/>
      <c r="I92" s="98"/>
      <c r="J92" s="98">
        <f>+[1]Review!$E$16+[1]Review!$AN$16</f>
        <v>1200</v>
      </c>
      <c r="K92" s="98"/>
      <c r="L92" s="98"/>
      <c r="M92" s="98"/>
    </row>
    <row r="93" spans="1:14" ht="26.25" customHeight="1">
      <c r="A93" s="106" t="s">
        <v>112</v>
      </c>
      <c r="B93" s="107"/>
      <c r="C93" s="108">
        <f>SUM(C45:C90)</f>
        <v>51627.81</v>
      </c>
      <c r="D93" s="247"/>
      <c r="E93" s="248"/>
      <c r="F93" s="107"/>
      <c r="G93" s="108">
        <f>SUM(G45:G90)</f>
        <v>61608.350000000006</v>
      </c>
      <c r="H93" s="247"/>
      <c r="I93" s="248"/>
      <c r="J93" s="107"/>
      <c r="K93" s="108">
        <f>SUM(K45:K90)</f>
        <v>77850.409999999989</v>
      </c>
      <c r="L93" s="247"/>
      <c r="M93" s="248"/>
      <c r="N93" t="s">
        <v>113</v>
      </c>
    </row>
    <row r="94" spans="1:14" ht="26.25" customHeight="1">
      <c r="A94" s="109" t="s">
        <v>65</v>
      </c>
      <c r="B94" s="102"/>
      <c r="C94" s="103">
        <f>C40</f>
        <v>61592.909999999989</v>
      </c>
      <c r="D94" s="249"/>
      <c r="E94" s="250"/>
      <c r="F94" s="102"/>
      <c r="G94" s="103">
        <f>G40</f>
        <v>46375.679999999993</v>
      </c>
      <c r="H94" s="249"/>
      <c r="I94" s="250"/>
      <c r="J94" s="102"/>
      <c r="K94" s="103">
        <f>K40</f>
        <v>88147.64</v>
      </c>
      <c r="L94" s="249"/>
      <c r="M94" s="250"/>
    </row>
    <row r="95" spans="1:14" ht="26.25" customHeight="1">
      <c r="A95" s="110" t="s">
        <v>114</v>
      </c>
      <c r="B95" s="111" t="str">
        <f>IF(C95&gt;0,"Surplus","Deficit")</f>
        <v>Surplus</v>
      </c>
      <c r="C95" s="111">
        <f>C94-C93</f>
        <v>9965.0999999999913</v>
      </c>
      <c r="D95" s="111"/>
      <c r="E95" s="111"/>
      <c r="F95" s="111" t="str">
        <f>IF(G95&gt;0,"Surplus","Deficit")</f>
        <v>Deficit</v>
      </c>
      <c r="G95" s="111">
        <f>G94-G93</f>
        <v>-15232.670000000013</v>
      </c>
      <c r="H95" s="111"/>
      <c r="I95" s="111"/>
      <c r="J95" s="111" t="str">
        <f>IF(K95&gt;0,"Surplus","Defecit")</f>
        <v>Surplus</v>
      </c>
      <c r="K95" s="111">
        <f>K94-K93</f>
        <v>10297.23000000001</v>
      </c>
      <c r="L95" s="111"/>
      <c r="M95" s="111"/>
    </row>
    <row r="96" spans="1:14" ht="12.75" customHeight="1">
      <c r="A96" s="112"/>
      <c r="B96" s="113"/>
      <c r="C96" s="112"/>
      <c r="D96" s="112"/>
      <c r="E96" s="112"/>
      <c r="F96" s="113"/>
      <c r="G96" s="112"/>
      <c r="H96" s="112"/>
      <c r="I96" s="112"/>
      <c r="J96" s="113"/>
      <c r="K96" s="112"/>
      <c r="L96" s="112"/>
      <c r="M96" s="112"/>
    </row>
    <row r="97" spans="1:13" ht="26.25" customHeight="1">
      <c r="A97" s="114"/>
      <c r="B97" s="115"/>
      <c r="C97" s="116"/>
      <c r="D97" s="116"/>
      <c r="E97" s="116"/>
      <c r="F97" s="115"/>
      <c r="G97" s="116"/>
      <c r="H97" s="116"/>
      <c r="I97" s="116"/>
      <c r="J97" s="115"/>
      <c r="K97" s="116"/>
      <c r="L97" s="116"/>
      <c r="M97" s="116"/>
    </row>
    <row r="98" spans="1:13" ht="15.75" customHeight="1">
      <c r="A98" s="117"/>
      <c r="B98" s="118"/>
      <c r="C98" s="117"/>
      <c r="D98" s="117"/>
      <c r="E98" s="117"/>
      <c r="F98" s="118"/>
      <c r="G98" s="117"/>
      <c r="H98" s="117"/>
      <c r="I98" s="117"/>
      <c r="J98" s="118"/>
      <c r="K98" s="117"/>
      <c r="L98" s="117"/>
      <c r="M98" s="117"/>
    </row>
    <row r="99" spans="1:13">
      <c r="A99" s="97"/>
      <c r="B99" s="98"/>
      <c r="C99" s="97"/>
      <c r="D99" s="97"/>
      <c r="E99" s="97"/>
      <c r="F99" s="98"/>
      <c r="G99" s="97"/>
      <c r="H99" s="97"/>
      <c r="I99" s="97"/>
      <c r="J99" s="98"/>
      <c r="K99" s="97"/>
      <c r="L99" s="97"/>
      <c r="M99" s="97"/>
    </row>
    <row r="100" spans="1:13">
      <c r="A100" s="101"/>
      <c r="B100" s="102"/>
      <c r="C100" s="101"/>
      <c r="D100" s="101"/>
      <c r="E100" s="101"/>
      <c r="F100" s="102"/>
      <c r="G100" s="101"/>
      <c r="H100" s="101"/>
      <c r="I100" s="101"/>
      <c r="J100" s="102"/>
      <c r="K100" s="101"/>
      <c r="L100" s="101"/>
      <c r="M100" s="101"/>
    </row>
    <row r="101" spans="1:13">
      <c r="A101" s="97"/>
      <c r="B101" s="98"/>
      <c r="C101" s="97"/>
      <c r="D101" s="97"/>
      <c r="E101" s="97"/>
      <c r="F101" s="98"/>
      <c r="G101" s="97"/>
      <c r="H101" s="97"/>
      <c r="I101" s="97"/>
      <c r="J101" s="98"/>
      <c r="K101" s="97"/>
      <c r="L101" s="97"/>
      <c r="M101" s="97"/>
    </row>
    <row r="102" spans="1:13">
      <c r="A102" s="97"/>
      <c r="B102" s="98"/>
      <c r="C102" s="97"/>
      <c r="D102" s="97"/>
      <c r="E102" s="97"/>
      <c r="F102" s="98"/>
      <c r="G102" s="97"/>
      <c r="H102" s="97"/>
      <c r="I102" s="97"/>
      <c r="J102" s="98"/>
      <c r="K102" s="97"/>
      <c r="L102" s="97"/>
      <c r="M102" s="97"/>
    </row>
    <row r="103" spans="1:13">
      <c r="A103" s="81"/>
      <c r="B103" s="100"/>
      <c r="C103" s="81"/>
      <c r="D103" s="81"/>
      <c r="E103" s="81"/>
      <c r="F103" s="100"/>
      <c r="G103" s="81"/>
      <c r="H103" s="81"/>
      <c r="I103" s="81"/>
      <c r="J103" s="100"/>
      <c r="K103" s="81"/>
      <c r="L103" s="81"/>
      <c r="M103" s="81"/>
    </row>
  </sheetData>
  <mergeCells count="20">
    <mergeCell ref="A1:M1"/>
    <mergeCell ref="A2:M2"/>
    <mergeCell ref="B4:C4"/>
    <mergeCell ref="F4:G4"/>
    <mergeCell ref="J4:K4"/>
    <mergeCell ref="B5:C5"/>
    <mergeCell ref="F5:G5"/>
    <mergeCell ref="J5:K5"/>
    <mergeCell ref="B43:C43"/>
    <mergeCell ref="F43:G43"/>
    <mergeCell ref="J43:K43"/>
    <mergeCell ref="L93:M93"/>
    <mergeCell ref="D94:E94"/>
    <mergeCell ref="H94:I94"/>
    <mergeCell ref="L94:M94"/>
    <mergeCell ref="B44:C44"/>
    <mergeCell ref="F44:G44"/>
    <mergeCell ref="J44:K44"/>
    <mergeCell ref="D93:E93"/>
    <mergeCell ref="H93:I93"/>
  </mergeCells>
  <pageMargins left="1.1023622047244099" right="0.86614173228346403" top="0.59055118110236204" bottom="0.43307086614173201" header="0.31496062992126" footer="0.31496062992126"/>
  <pageSetup paperSize="9" scale="66" fitToHeight="0" orientation="portrait"/>
  <headerFooter>
    <oddHeader>&amp;CGeneral Fund Receipts &amp; Payments</oddHeader>
  </headerFooter>
  <rowBreaks count="1" manualBreakCount="1">
    <brk id="4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workbookViewId="0">
      <pane ySplit="6" topLeftCell="A23" activePane="bottomLeft" state="frozen"/>
      <selection pane="bottomLeft" activeCell="C11" sqref="C11"/>
    </sheetView>
  </sheetViews>
  <sheetFormatPr defaultColWidth="9" defaultRowHeight="15"/>
  <cols>
    <col min="1" max="1" width="30.5703125" customWidth="1"/>
    <col min="2" max="2" width="9.5703125" customWidth="1"/>
    <col min="3" max="3" width="15.28515625" customWidth="1"/>
    <col min="4" max="4" width="9.5703125" customWidth="1"/>
    <col min="5" max="5" width="15.28515625" customWidth="1"/>
    <col min="6" max="6" width="9.5703125" customWidth="1"/>
    <col min="7" max="7" width="12.7109375" customWidth="1"/>
  </cols>
  <sheetData>
    <row r="1" spans="1:8" ht="15.75">
      <c r="A1" s="258" t="s">
        <v>115</v>
      </c>
      <c r="B1" s="258"/>
      <c r="C1" s="258"/>
      <c r="D1" s="258"/>
      <c r="E1" s="258"/>
      <c r="F1" s="258"/>
      <c r="G1" s="258"/>
      <c r="H1" s="258"/>
    </row>
    <row r="2" spans="1:8" ht="21">
      <c r="A2" s="259" t="s">
        <v>17</v>
      </c>
      <c r="B2" s="259"/>
      <c r="C2" s="259"/>
      <c r="D2" s="259"/>
      <c r="E2" s="259"/>
      <c r="F2" s="259"/>
      <c r="G2" s="259"/>
      <c r="H2" s="259"/>
    </row>
    <row r="3" spans="1:8" ht="21">
      <c r="A3" s="259" t="s">
        <v>116</v>
      </c>
      <c r="B3" s="259"/>
      <c r="C3" s="259"/>
      <c r="D3" s="259"/>
      <c r="E3" s="259"/>
      <c r="F3" s="259"/>
      <c r="G3" s="259"/>
      <c r="H3" s="259"/>
    </row>
    <row r="4" spans="1:8" ht="15.75">
      <c r="A4" s="258" t="s">
        <v>170</v>
      </c>
      <c r="B4" s="258"/>
      <c r="C4" s="258"/>
      <c r="D4" s="258"/>
      <c r="E4" s="258"/>
      <c r="F4" s="258"/>
      <c r="G4" s="258"/>
      <c r="H4" s="258"/>
    </row>
    <row r="5" spans="1:8">
      <c r="A5" s="46"/>
      <c r="B5" s="46"/>
      <c r="C5" s="46"/>
      <c r="D5" s="46"/>
      <c r="E5" s="46"/>
      <c r="F5" s="46"/>
      <c r="G5" s="46"/>
    </row>
    <row r="6" spans="1:8">
      <c r="C6" s="46">
        <v>2025</v>
      </c>
      <c r="E6" s="46">
        <v>2024</v>
      </c>
      <c r="G6" s="46">
        <v>2023</v>
      </c>
    </row>
    <row r="8" spans="1:8">
      <c r="A8" s="47" t="s">
        <v>25</v>
      </c>
      <c r="B8" s="47"/>
      <c r="C8" s="47"/>
      <c r="D8" s="47"/>
      <c r="E8" s="47"/>
      <c r="F8" s="47"/>
      <c r="G8" s="47"/>
    </row>
    <row r="9" spans="1:8" ht="15.75">
      <c r="A9" s="48" t="s">
        <v>117</v>
      </c>
      <c r="B9" s="48"/>
      <c r="C9" s="49">
        <v>50</v>
      </c>
      <c r="D9" s="48"/>
      <c r="E9" s="49">
        <v>540</v>
      </c>
      <c r="F9" s="48"/>
      <c r="G9" s="49">
        <f>+[2]Statement!$H$8</f>
        <v>485</v>
      </c>
      <c r="H9" s="50"/>
    </row>
    <row r="10" spans="1:8" ht="15.75" customHeight="1">
      <c r="A10" s="48" t="s">
        <v>118</v>
      </c>
      <c r="B10" s="48"/>
      <c r="C10" s="49">
        <v>0</v>
      </c>
      <c r="D10" s="48"/>
      <c r="E10" s="49">
        <v>0.16</v>
      </c>
      <c r="F10" s="48"/>
      <c r="G10" s="49">
        <f>+[2]Statement!$H$9</f>
        <v>503</v>
      </c>
      <c r="H10" s="51"/>
    </row>
    <row r="11" spans="1:8" ht="15.75" customHeight="1">
      <c r="A11" s="48" t="s">
        <v>119</v>
      </c>
      <c r="B11" s="48"/>
      <c r="C11" s="49">
        <v>0</v>
      </c>
      <c r="D11" s="48"/>
      <c r="E11" s="49">
        <v>240</v>
      </c>
      <c r="F11" s="48"/>
      <c r="G11" s="49"/>
      <c r="H11" s="51"/>
    </row>
    <row r="12" spans="1:8" ht="15.75" customHeight="1">
      <c r="A12" s="48" t="s">
        <v>120</v>
      </c>
      <c r="B12" s="48"/>
      <c r="C12" s="49">
        <v>0</v>
      </c>
      <c r="D12" s="48"/>
      <c r="E12" s="49">
        <v>24</v>
      </c>
      <c r="F12" s="48"/>
      <c r="G12" s="49"/>
      <c r="H12" s="51"/>
    </row>
    <row r="13" spans="1:8" ht="15.75">
      <c r="A13" s="48" t="s">
        <v>121</v>
      </c>
      <c r="B13" s="48"/>
      <c r="C13" s="49">
        <f>+[2]Statement!$H$10</f>
        <v>0</v>
      </c>
      <c r="D13" s="48"/>
      <c r="E13" s="49">
        <f>+[2]Statement!$H$10</f>
        <v>0</v>
      </c>
      <c r="F13" s="48"/>
      <c r="G13" s="49">
        <f>+[2]Statement!$H$10</f>
        <v>0</v>
      </c>
      <c r="H13" s="51"/>
    </row>
    <row r="14" spans="1:8" ht="15.75">
      <c r="A14" s="48" t="s">
        <v>52</v>
      </c>
      <c r="B14" s="48"/>
      <c r="C14" s="49">
        <v>0</v>
      </c>
      <c r="D14" s="48"/>
      <c r="E14" s="49">
        <f>500*8</f>
        <v>4000</v>
      </c>
      <c r="F14" s="48"/>
      <c r="G14" s="49">
        <f>+[2]Statement!$H11</f>
        <v>6000</v>
      </c>
      <c r="H14" s="51"/>
    </row>
    <row r="15" spans="1:8" ht="18.75" customHeight="1">
      <c r="A15" s="52" t="s">
        <v>122</v>
      </c>
      <c r="B15" s="52"/>
      <c r="C15" s="53">
        <v>50</v>
      </c>
      <c r="D15" s="52"/>
      <c r="E15" s="53">
        <f>SUM(E9:E14)</f>
        <v>4804.16</v>
      </c>
      <c r="F15" s="52"/>
      <c r="G15" s="53">
        <f t="shared" ref="G15" si="0">SUM(G9:G14)</f>
        <v>6988</v>
      </c>
      <c r="H15" s="51"/>
    </row>
    <row r="16" spans="1:8" ht="31.5">
      <c r="A16" s="48" t="s">
        <v>123</v>
      </c>
      <c r="B16" s="48"/>
      <c r="C16" s="49">
        <v>0</v>
      </c>
      <c r="D16" s="48"/>
      <c r="E16" s="49">
        <v>900</v>
      </c>
      <c r="F16" s="48"/>
      <c r="G16" s="49">
        <f>+[2]Statement!$H$14</f>
        <v>1200</v>
      </c>
      <c r="H16" s="51"/>
    </row>
    <row r="17" spans="1:10" ht="33" customHeight="1">
      <c r="A17" s="48" t="s">
        <v>124</v>
      </c>
      <c r="B17" s="48"/>
      <c r="C17" s="48"/>
      <c r="D17" s="48"/>
      <c r="E17" s="48"/>
      <c r="F17" s="48"/>
      <c r="G17" s="48"/>
      <c r="H17" s="51"/>
    </row>
    <row r="18" spans="1:10" ht="18.75" customHeight="1">
      <c r="A18" s="52" t="s">
        <v>65</v>
      </c>
      <c r="B18" s="52"/>
      <c r="C18" s="228">
        <f>SUM(C15:C17)</f>
        <v>50</v>
      </c>
      <c r="D18" s="52"/>
      <c r="E18" s="54">
        <f>SUM(E15:E17)</f>
        <v>5704.16</v>
      </c>
      <c r="F18" s="52"/>
      <c r="G18" s="54">
        <f t="shared" ref="G18" si="1">SUM(G15:G17)</f>
        <v>8188</v>
      </c>
      <c r="H18" s="51"/>
    </row>
    <row r="19" spans="1:10">
      <c r="A19" s="52"/>
      <c r="B19" s="52"/>
      <c r="C19" s="52"/>
      <c r="D19" s="52"/>
      <c r="E19" s="52"/>
      <c r="F19" s="52"/>
      <c r="G19" s="52"/>
      <c r="H19" s="51"/>
      <c r="I19" s="65"/>
    </row>
    <row r="20" spans="1:10" ht="18.75" customHeight="1">
      <c r="A20" s="47" t="s">
        <v>26</v>
      </c>
      <c r="B20" s="47"/>
      <c r="C20" s="47"/>
      <c r="D20" s="47"/>
      <c r="E20" s="47"/>
      <c r="F20" s="47"/>
      <c r="G20" s="47"/>
      <c r="H20" s="51"/>
      <c r="I20" s="66"/>
    </row>
    <row r="21" spans="1:10" ht="15.75">
      <c r="A21" s="55" t="s">
        <v>125</v>
      </c>
      <c r="B21" s="55"/>
      <c r="C21" s="56">
        <v>0</v>
      </c>
      <c r="D21" s="55"/>
      <c r="E21" s="56">
        <v>8361.6200000000008</v>
      </c>
      <c r="F21" s="55"/>
      <c r="G21" s="56">
        <f>+[2]Statement!H19</f>
        <v>11836.28</v>
      </c>
      <c r="J21" s="67"/>
    </row>
    <row r="22" spans="1:10" ht="15.75">
      <c r="A22" s="55" t="s">
        <v>126</v>
      </c>
      <c r="B22" s="55"/>
      <c r="C22" s="56">
        <v>0</v>
      </c>
      <c r="D22" s="55"/>
      <c r="E22" s="56">
        <v>322.60000000000002</v>
      </c>
      <c r="F22" s="55"/>
      <c r="G22" s="56">
        <f>+[2]Statement!H20</f>
        <v>967.8</v>
      </c>
    </row>
    <row r="23" spans="1:10" ht="15.75">
      <c r="A23" s="55" t="s">
        <v>127</v>
      </c>
      <c r="B23" s="55"/>
      <c r="C23" s="229">
        <v>40.159999999999997</v>
      </c>
      <c r="D23" s="55"/>
      <c r="E23" s="56">
        <v>306.45999999999998</v>
      </c>
      <c r="F23" s="55"/>
      <c r="G23" s="56">
        <f>+[2]Statement!H21</f>
        <v>508.53</v>
      </c>
    </row>
    <row r="24" spans="1:10" ht="15.75">
      <c r="A24" s="55" t="s">
        <v>128</v>
      </c>
      <c r="B24" s="55"/>
      <c r="C24" s="56">
        <v>0</v>
      </c>
      <c r="D24" s="55"/>
      <c r="E24" s="56">
        <v>0</v>
      </c>
      <c r="F24" s="55"/>
      <c r="G24" s="56">
        <f>+[2]Statement!H22</f>
        <v>108.9</v>
      </c>
      <c r="J24" s="67"/>
    </row>
    <row r="25" spans="1:10" ht="15.75">
      <c r="A25" s="55" t="s">
        <v>129</v>
      </c>
      <c r="B25" s="55"/>
      <c r="C25" s="56">
        <v>0</v>
      </c>
      <c r="D25" s="55"/>
      <c r="E25" s="56">
        <v>24</v>
      </c>
      <c r="F25" s="55"/>
      <c r="G25" s="56"/>
      <c r="J25" s="67"/>
    </row>
    <row r="26" spans="1:10" ht="15.75">
      <c r="A26" s="55" t="s">
        <v>130</v>
      </c>
      <c r="B26" s="55"/>
      <c r="C26" s="56">
        <v>0</v>
      </c>
      <c r="D26" s="55"/>
      <c r="E26" s="56">
        <v>0</v>
      </c>
      <c r="F26" s="55"/>
      <c r="G26" s="56">
        <f>+[2]Statement!H23</f>
        <v>398.39</v>
      </c>
      <c r="J26" s="67"/>
    </row>
    <row r="27" spans="1:10" ht="15.75">
      <c r="A27" s="55" t="s">
        <v>98</v>
      </c>
      <c r="B27" s="55"/>
      <c r="C27" s="56">
        <v>0</v>
      </c>
      <c r="D27" s="55"/>
      <c r="E27" s="56">
        <v>0</v>
      </c>
      <c r="F27" s="55"/>
      <c r="G27" s="56">
        <f>+[2]Statement!H24</f>
        <v>13.24</v>
      </c>
      <c r="H27" s="50"/>
      <c r="J27" s="67"/>
    </row>
    <row r="28" spans="1:10" ht="15.75">
      <c r="A28" s="55" t="s">
        <v>131</v>
      </c>
      <c r="B28" s="55"/>
      <c r="C28" s="56">
        <v>0</v>
      </c>
      <c r="D28" s="55"/>
      <c r="E28" s="56">
        <v>0</v>
      </c>
      <c r="F28" s="55"/>
      <c r="G28" s="56">
        <f>+[2]Statement!H25</f>
        <v>48.84</v>
      </c>
      <c r="H28" s="50"/>
      <c r="J28" s="67"/>
    </row>
    <row r="29" spans="1:10" ht="15.75">
      <c r="A29" s="55" t="s">
        <v>132</v>
      </c>
      <c r="B29" s="55"/>
      <c r="C29" s="56">
        <v>0</v>
      </c>
      <c r="D29" s="55"/>
      <c r="E29" s="56">
        <v>0</v>
      </c>
      <c r="F29" s="55"/>
      <c r="G29" s="56">
        <f>+[2]Statement!H26</f>
        <v>44.26</v>
      </c>
      <c r="H29" s="57"/>
      <c r="J29" s="67"/>
    </row>
    <row r="30" spans="1:10" ht="15.75">
      <c r="A30" s="55" t="s">
        <v>133</v>
      </c>
      <c r="B30" s="55"/>
      <c r="C30" s="56">
        <v>0</v>
      </c>
      <c r="D30" s="55"/>
      <c r="E30" s="56">
        <v>0</v>
      </c>
      <c r="F30" s="55"/>
      <c r="G30" s="56">
        <f>+[2]Statement!H27</f>
        <v>0</v>
      </c>
      <c r="H30" s="57"/>
      <c r="J30" s="67"/>
    </row>
    <row r="31" spans="1:10" ht="15.75">
      <c r="A31" s="55" t="s">
        <v>134</v>
      </c>
      <c r="B31" s="55"/>
      <c r="C31" s="56">
        <v>0</v>
      </c>
      <c r="D31" s="55"/>
      <c r="E31" s="56">
        <v>0</v>
      </c>
      <c r="F31" s="55"/>
      <c r="G31" s="56">
        <f>+[2]Statement!H28</f>
        <v>397</v>
      </c>
      <c r="J31" s="67"/>
    </row>
    <row r="32" spans="1:10" ht="15.75">
      <c r="A32" s="55" t="s">
        <v>135</v>
      </c>
      <c r="B32" s="55"/>
      <c r="C32" s="56">
        <v>0</v>
      </c>
      <c r="D32" s="55"/>
      <c r="E32" s="56">
        <v>240</v>
      </c>
      <c r="F32" s="55"/>
      <c r="G32" s="56">
        <f>+[2]Statement!H29</f>
        <v>720</v>
      </c>
      <c r="J32" s="67"/>
    </row>
    <row r="33" spans="1:10" ht="15.75">
      <c r="A33" s="55" t="s">
        <v>136</v>
      </c>
      <c r="B33" s="55"/>
      <c r="C33" s="229">
        <v>145</v>
      </c>
      <c r="D33" s="55"/>
      <c r="E33" s="56">
        <v>7293.51</v>
      </c>
      <c r="F33" s="55"/>
      <c r="G33" s="56"/>
      <c r="J33" s="67"/>
    </row>
    <row r="34" spans="1:10" ht="15.75">
      <c r="A34" t="s">
        <v>137</v>
      </c>
      <c r="C34" s="56">
        <v>0</v>
      </c>
      <c r="E34" s="56">
        <v>0</v>
      </c>
      <c r="G34" s="56"/>
      <c r="J34" s="67"/>
    </row>
    <row r="35" spans="1:10" ht="18.75" customHeight="1">
      <c r="A35" s="52" t="s">
        <v>112</v>
      </c>
      <c r="B35" s="52"/>
      <c r="C35" s="230">
        <f>SUM(C21:C34)</f>
        <v>185.16</v>
      </c>
      <c r="D35" s="52"/>
      <c r="E35" s="58">
        <f>SUM(E21:E34)</f>
        <v>16548.189999999999</v>
      </c>
      <c r="F35" s="52"/>
      <c r="G35" s="58">
        <f>SUM(G21:G34)</f>
        <v>15043.24</v>
      </c>
    </row>
    <row r="36" spans="1:10" ht="15.75" customHeight="1"/>
    <row r="37" spans="1:10" ht="18.75" customHeight="1">
      <c r="A37" s="59" t="s">
        <v>114</v>
      </c>
      <c r="B37" s="60" t="str">
        <f>IF(C37&gt;0,"Surplus","Deficit")</f>
        <v>Deficit</v>
      </c>
      <c r="C37" s="231">
        <f>C18-C35</f>
        <v>-135.16</v>
      </c>
      <c r="D37" s="60" t="str">
        <f>IF(E37&gt;0,"Surplus","Deficit")</f>
        <v>Deficit</v>
      </c>
      <c r="E37" s="61">
        <f>E18-E35</f>
        <v>-10844.029999999999</v>
      </c>
      <c r="F37" s="60" t="str">
        <f>IF(G37&gt;0,"Surplus","Deficit")</f>
        <v>Deficit</v>
      </c>
      <c r="G37" s="61">
        <f>G18-G35</f>
        <v>-6855.24</v>
      </c>
      <c r="H37" s="62"/>
    </row>
    <row r="38" spans="1:10" ht="15.75">
      <c r="H38" s="62"/>
      <c r="J38" s="67"/>
    </row>
    <row r="39" spans="1:10" ht="18.75">
      <c r="A39" s="63" t="s">
        <v>138</v>
      </c>
      <c r="B39" s="63"/>
      <c r="C39" s="63"/>
      <c r="D39" s="63"/>
      <c r="E39" s="63"/>
      <c r="F39" s="63"/>
      <c r="G39" s="63"/>
      <c r="H39" s="62"/>
    </row>
    <row r="40" spans="1:10" ht="21.75" customHeight="1">
      <c r="A40" t="s">
        <v>139</v>
      </c>
    </row>
    <row r="41" spans="1:10">
      <c r="A41" s="52"/>
      <c r="B41" s="52"/>
      <c r="C41" s="52"/>
      <c r="D41" s="52"/>
      <c r="E41" s="52"/>
      <c r="F41" s="52"/>
      <c r="G41" s="52"/>
    </row>
    <row r="42" spans="1:10" ht="18.75" customHeight="1">
      <c r="H42" s="64"/>
    </row>
    <row r="43" spans="1:10" ht="18.75" customHeight="1">
      <c r="H43" s="64"/>
    </row>
  </sheetData>
  <mergeCells count="4">
    <mergeCell ref="A1:H1"/>
    <mergeCell ref="A2:H2"/>
    <mergeCell ref="A3:H3"/>
    <mergeCell ref="A4:H4"/>
  </mergeCells>
  <pageMargins left="1.25" right="0.7" top="0.68" bottom="0.75" header="0.3" footer="0.3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72"/>
  <sheetViews>
    <sheetView topLeftCell="B23" workbookViewId="0">
      <selection activeCell="C11" sqref="C11"/>
    </sheetView>
  </sheetViews>
  <sheetFormatPr defaultColWidth="9" defaultRowHeight="15"/>
  <cols>
    <col min="1" max="1" width="3" customWidth="1"/>
    <col min="2" max="2" width="63" customWidth="1"/>
    <col min="3" max="3" width="14.140625" customWidth="1"/>
    <col min="4" max="4" width="4" customWidth="1"/>
    <col min="5" max="5" width="14.140625" customWidth="1"/>
    <col min="6" max="6" width="4" customWidth="1"/>
    <col min="7" max="7" width="14.140625" customWidth="1"/>
    <col min="8" max="8" width="4" customWidth="1"/>
    <col min="9" max="9" width="3.28515625" customWidth="1"/>
  </cols>
  <sheetData>
    <row r="1" spans="2:14" ht="20.25">
      <c r="B1" s="262" t="s">
        <v>140</v>
      </c>
      <c r="C1" s="262"/>
      <c r="D1" s="262"/>
      <c r="E1" s="262"/>
      <c r="F1" s="262"/>
      <c r="G1" s="262"/>
      <c r="H1" s="262"/>
    </row>
    <row r="2" spans="2:14" ht="15.75">
      <c r="B2" s="263" t="s">
        <v>2</v>
      </c>
      <c r="C2" s="263"/>
      <c r="D2" s="263"/>
      <c r="E2" s="263"/>
      <c r="F2" s="263"/>
      <c r="G2" s="263"/>
      <c r="H2" s="263"/>
    </row>
    <row r="3" spans="2:14" ht="11.25" customHeight="1">
      <c r="B3" s="9"/>
      <c r="C3" s="9"/>
      <c r="D3" s="9"/>
      <c r="E3" s="9"/>
      <c r="F3" s="9"/>
      <c r="G3" s="9"/>
      <c r="H3" s="9"/>
    </row>
    <row r="4" spans="2:14" ht="22.5" customHeight="1">
      <c r="B4" s="264" t="s">
        <v>141</v>
      </c>
      <c r="C4" s="264"/>
      <c r="D4" s="264"/>
      <c r="E4" s="264"/>
      <c r="F4" s="264"/>
      <c r="G4" s="264"/>
      <c r="H4" s="264"/>
      <c r="I4" s="42"/>
    </row>
    <row r="5" spans="2:14">
      <c r="B5" s="10"/>
      <c r="C5" s="2">
        <v>2025</v>
      </c>
      <c r="D5" s="1"/>
      <c r="E5" s="2">
        <v>2024</v>
      </c>
      <c r="F5" s="1"/>
      <c r="G5" s="2">
        <v>2023</v>
      </c>
      <c r="H5" s="1"/>
      <c r="I5" s="43"/>
    </row>
    <row r="6" spans="2:14">
      <c r="B6" s="10"/>
      <c r="C6" s="2" t="s">
        <v>3</v>
      </c>
      <c r="D6" s="1"/>
      <c r="E6" s="2" t="s">
        <v>3</v>
      </c>
      <c r="F6" s="1"/>
      <c r="G6" s="2" t="s">
        <v>3</v>
      </c>
      <c r="H6" s="1"/>
      <c r="I6" s="43"/>
    </row>
    <row r="7" spans="2:14">
      <c r="B7" s="10" t="s">
        <v>142</v>
      </c>
      <c r="C7" s="11">
        <f>+E11</f>
        <v>13989.539999999999</v>
      </c>
      <c r="D7" s="12"/>
      <c r="E7" s="11">
        <v>29221.8</v>
      </c>
      <c r="F7" s="12"/>
      <c r="G7" s="11">
        <f>+[1]Review!$AW$4</f>
        <v>18242.93</v>
      </c>
      <c r="H7" s="1"/>
      <c r="I7" s="43"/>
    </row>
    <row r="8" spans="2:14">
      <c r="B8" s="10" t="s">
        <v>143</v>
      </c>
      <c r="C8" s="13"/>
      <c r="D8" s="1"/>
      <c r="E8" s="13"/>
      <c r="F8" s="1"/>
      <c r="G8" s="13"/>
      <c r="H8" s="1"/>
      <c r="I8" s="43"/>
    </row>
    <row r="9" spans="2:14">
      <c r="B9" s="10" t="s">
        <v>144</v>
      </c>
      <c r="C9" s="14">
        <f>+'Church Receipts and Payments'!C95</f>
        <v>9965.0999999999913</v>
      </c>
      <c r="D9" s="1"/>
      <c r="E9" s="14">
        <v>-15232.26</v>
      </c>
      <c r="F9" s="1"/>
      <c r="G9" s="14">
        <f>+'Church Receipts and Payments'!K95</f>
        <v>10297.23000000001</v>
      </c>
      <c r="H9" s="1"/>
      <c r="I9" s="43"/>
    </row>
    <row r="10" spans="2:14">
      <c r="B10" s="10" t="s">
        <v>145</v>
      </c>
      <c r="C10" s="13">
        <f>'Church Receipts and Payments'!I97</f>
        <v>0</v>
      </c>
      <c r="D10" s="1"/>
      <c r="E10" s="13">
        <f>'Church Receipts and Payments'!K97</f>
        <v>0</v>
      </c>
      <c r="F10" s="1"/>
      <c r="G10" s="13">
        <f>'Church Receipts and Payments'!M97</f>
        <v>0</v>
      </c>
      <c r="H10" s="1"/>
      <c r="I10" s="43"/>
      <c r="K10" s="44"/>
      <c r="M10" s="44"/>
    </row>
    <row r="11" spans="2:14" ht="15.75">
      <c r="B11" s="15" t="s">
        <v>146</v>
      </c>
      <c r="C11" s="267">
        <f>SUM(C7:C10)</f>
        <v>23954.639999999992</v>
      </c>
      <c r="D11" s="17"/>
      <c r="E11" s="16">
        <f>SUM(E7:E10)</f>
        <v>13989.539999999999</v>
      </c>
      <c r="F11" s="17"/>
      <c r="G11" s="16">
        <f>SUM(G7:G10)</f>
        <v>28540.160000000011</v>
      </c>
      <c r="H11" s="17"/>
      <c r="I11" s="43"/>
    </row>
    <row r="12" spans="2:14" ht="11.25" customHeight="1">
      <c r="B12" s="18"/>
      <c r="C12" s="19"/>
      <c r="D12" s="19"/>
      <c r="E12" s="19"/>
      <c r="F12" s="19"/>
      <c r="G12" s="19"/>
      <c r="H12" s="19"/>
      <c r="I12" s="45"/>
    </row>
    <row r="13" spans="2:14" ht="15" customHeight="1">
      <c r="B13" s="1"/>
      <c r="C13" s="1"/>
      <c r="D13" s="1"/>
      <c r="E13" s="1"/>
      <c r="F13" s="1"/>
      <c r="G13" s="1"/>
      <c r="H13" s="1"/>
      <c r="N13" s="44"/>
    </row>
    <row r="14" spans="2:14" ht="22.5" customHeight="1">
      <c r="B14" s="264" t="s">
        <v>147</v>
      </c>
      <c r="C14" s="264"/>
      <c r="D14" s="264"/>
      <c r="E14" s="264"/>
      <c r="F14" s="264"/>
      <c r="G14" s="264"/>
      <c r="H14" s="264"/>
      <c r="I14" s="42"/>
    </row>
    <row r="15" spans="2:14" ht="15.75">
      <c r="B15" s="260" t="s">
        <v>148</v>
      </c>
      <c r="C15" s="260"/>
      <c r="D15" s="260"/>
      <c r="E15" s="260"/>
      <c r="F15" s="260"/>
      <c r="G15" s="260"/>
      <c r="H15" s="260"/>
      <c r="I15" s="43"/>
    </row>
    <row r="16" spans="2:14" ht="15.75">
      <c r="B16" s="260" t="s">
        <v>149</v>
      </c>
      <c r="C16" s="260"/>
      <c r="D16" s="260"/>
      <c r="E16" s="260"/>
      <c r="F16" s="260"/>
      <c r="G16" s="260"/>
      <c r="H16" s="260"/>
      <c r="I16" s="43"/>
    </row>
    <row r="17" spans="2:9">
      <c r="B17" s="10"/>
      <c r="C17" s="2">
        <f>+C5</f>
        <v>2025</v>
      </c>
      <c r="D17" s="1"/>
      <c r="E17" s="2">
        <f>+E5</f>
        <v>2024</v>
      </c>
      <c r="F17" s="1"/>
      <c r="G17" s="2">
        <f>+G5</f>
        <v>2023</v>
      </c>
      <c r="H17" s="1"/>
      <c r="I17" s="43"/>
    </row>
    <row r="18" spans="2:9">
      <c r="B18" s="10"/>
      <c r="C18" s="2" t="s">
        <v>3</v>
      </c>
      <c r="D18" s="1"/>
      <c r="E18" s="2" t="s">
        <v>3</v>
      </c>
      <c r="F18" s="1"/>
      <c r="G18" s="2" t="s">
        <v>3</v>
      </c>
      <c r="H18" s="1"/>
      <c r="I18" s="43"/>
    </row>
    <row r="19" spans="2:9">
      <c r="B19" s="10" t="s">
        <v>142</v>
      </c>
      <c r="C19" s="11">
        <f>E32</f>
        <v>9051.880000000001</v>
      </c>
      <c r="D19" s="1"/>
      <c r="E19" s="11">
        <f>G32</f>
        <v>7947.8700000000008</v>
      </c>
      <c r="F19" s="1"/>
      <c r="G19" s="20">
        <v>11602.59</v>
      </c>
      <c r="H19" s="1"/>
      <c r="I19" s="43"/>
    </row>
    <row r="20" spans="2:9">
      <c r="B20" s="21" t="s">
        <v>25</v>
      </c>
      <c r="C20" s="22"/>
      <c r="D20" s="23"/>
      <c r="E20" s="22"/>
      <c r="F20" s="23"/>
      <c r="G20" s="23"/>
      <c r="H20" s="23"/>
      <c r="I20" s="43"/>
    </row>
    <row r="21" spans="2:9">
      <c r="B21" s="24" t="s">
        <v>150</v>
      </c>
      <c r="C21" s="25">
        <v>365</v>
      </c>
      <c r="D21" s="26"/>
      <c r="E21" s="25">
        <v>320</v>
      </c>
      <c r="F21" s="26"/>
      <c r="G21" s="26">
        <f>+[3]Review!$D$35</f>
        <v>45</v>
      </c>
      <c r="H21" s="26"/>
      <c r="I21" s="43"/>
    </row>
    <row r="22" spans="2:9">
      <c r="B22" s="24" t="s">
        <v>151</v>
      </c>
      <c r="C22" s="25">
        <v>600</v>
      </c>
      <c r="D22" s="26"/>
      <c r="E22" s="25">
        <v>640</v>
      </c>
      <c r="F22" s="26"/>
      <c r="G22" s="26">
        <f>+[3]Review!$C$35</f>
        <v>850</v>
      </c>
      <c r="H22" s="26"/>
      <c r="I22" s="43"/>
    </row>
    <row r="23" spans="2:9">
      <c r="B23" s="24" t="s">
        <v>152</v>
      </c>
      <c r="C23" s="25">
        <v>0</v>
      </c>
      <c r="D23" s="26"/>
      <c r="E23" s="25">
        <v>0</v>
      </c>
      <c r="F23" s="26"/>
      <c r="G23" s="26">
        <v>0</v>
      </c>
      <c r="H23" s="26"/>
      <c r="I23" s="43"/>
    </row>
    <row r="24" spans="2:9">
      <c r="B24" s="24" t="s">
        <v>153</v>
      </c>
      <c r="C24" s="25">
        <v>0</v>
      </c>
      <c r="D24" s="26"/>
      <c r="E24" s="25">
        <v>0</v>
      </c>
      <c r="F24" s="26"/>
      <c r="G24" s="26">
        <v>0</v>
      </c>
      <c r="H24" s="26"/>
      <c r="I24" s="43"/>
    </row>
    <row r="25" spans="2:9">
      <c r="B25" s="24" t="s">
        <v>154</v>
      </c>
      <c r="C25" s="25">
        <f>+[3]Review!$G$35</f>
        <v>0</v>
      </c>
      <c r="D25" s="26"/>
      <c r="E25" s="25">
        <f>+[3]Review!$G$35</f>
        <v>0</v>
      </c>
      <c r="F25" s="26"/>
      <c r="G25" s="26">
        <f>+[3]Review!$G$35</f>
        <v>0</v>
      </c>
      <c r="H25" s="26"/>
      <c r="I25" s="43"/>
    </row>
    <row r="26" spans="2:9">
      <c r="B26" s="24" t="s">
        <v>155</v>
      </c>
      <c r="C26" s="25">
        <v>79</v>
      </c>
      <c r="D26" s="26"/>
      <c r="E26" s="25">
        <v>144.01</v>
      </c>
      <c r="F26" s="26"/>
      <c r="G26" s="26">
        <f>+[3]Review!$Q$35</f>
        <v>130.28</v>
      </c>
      <c r="H26" s="26"/>
      <c r="I26" s="43"/>
    </row>
    <row r="27" spans="2:9">
      <c r="B27" s="24" t="s">
        <v>156</v>
      </c>
      <c r="C27" s="25">
        <v>0</v>
      </c>
      <c r="D27" s="26"/>
      <c r="E27" s="25">
        <v>0</v>
      </c>
      <c r="F27" s="26"/>
      <c r="G27" s="26">
        <v>0</v>
      </c>
      <c r="H27" s="26"/>
      <c r="I27" s="43"/>
    </row>
    <row r="28" spans="2:9">
      <c r="B28" s="24"/>
      <c r="C28" s="27">
        <f>SUM(C19:C27)</f>
        <v>10095.880000000001</v>
      </c>
      <c r="D28" s="20"/>
      <c r="E28" s="27">
        <f>SUM(E19:E27)</f>
        <v>9051.880000000001</v>
      </c>
      <c r="F28" s="20"/>
      <c r="G28" s="28">
        <f t="shared" ref="G28" si="0">SUM(G19:G27)</f>
        <v>12627.87</v>
      </c>
      <c r="H28" s="20"/>
      <c r="I28" s="43"/>
    </row>
    <row r="29" spans="2:9">
      <c r="B29" s="15" t="s">
        <v>26</v>
      </c>
      <c r="C29" s="29"/>
      <c r="D29" s="30"/>
      <c r="E29" s="29"/>
      <c r="F29" s="30"/>
      <c r="G29" s="30"/>
      <c r="H29" s="30"/>
      <c r="I29" s="43"/>
    </row>
    <row r="30" spans="2:9">
      <c r="B30" s="232" t="s">
        <v>171</v>
      </c>
      <c r="C30" s="233">
        <v>8016</v>
      </c>
      <c r="D30" s="30"/>
      <c r="E30" s="29"/>
      <c r="F30" s="30"/>
      <c r="G30" s="30"/>
      <c r="H30" s="30"/>
      <c r="I30" s="43"/>
    </row>
    <row r="31" spans="2:9">
      <c r="B31" s="24" t="s">
        <v>157</v>
      </c>
      <c r="C31" s="31">
        <v>0</v>
      </c>
      <c r="D31" s="26"/>
      <c r="E31" s="31">
        <v>0</v>
      </c>
      <c r="F31" s="26"/>
      <c r="G31" s="32">
        <f>+[3]Review!$AM$33</f>
        <v>4680</v>
      </c>
      <c r="H31" s="26"/>
      <c r="I31" s="43"/>
    </row>
    <row r="32" spans="2:9">
      <c r="B32" s="15" t="s">
        <v>146</v>
      </c>
      <c r="C32" s="33">
        <f>C28-C30</f>
        <v>2079.880000000001</v>
      </c>
      <c r="D32" s="30"/>
      <c r="E32" s="33">
        <f>E28-E31</f>
        <v>9051.880000000001</v>
      </c>
      <c r="F32" s="30"/>
      <c r="G32" s="34">
        <f>G28-G31</f>
        <v>7947.8700000000008</v>
      </c>
      <c r="H32" s="30"/>
      <c r="I32" s="43"/>
    </row>
    <row r="33" spans="2:9" ht="11.25" customHeight="1">
      <c r="B33" s="35"/>
      <c r="C33" s="36"/>
      <c r="D33" s="36"/>
      <c r="E33" s="36"/>
      <c r="F33" s="36"/>
      <c r="G33" s="36"/>
      <c r="H33" s="36"/>
      <c r="I33" s="45"/>
    </row>
    <row r="34" spans="2:9" ht="15" customHeight="1">
      <c r="B34" s="261" t="s">
        <v>17</v>
      </c>
      <c r="C34" s="261"/>
      <c r="D34" s="261"/>
      <c r="E34" s="261"/>
      <c r="F34" s="261"/>
      <c r="G34" s="261"/>
      <c r="H34" s="261"/>
      <c r="I34" s="42"/>
    </row>
    <row r="35" spans="2:9" ht="21" customHeight="1">
      <c r="B35" s="260" t="s">
        <v>148</v>
      </c>
      <c r="C35" s="260"/>
      <c r="D35" s="260"/>
      <c r="E35" s="260"/>
      <c r="F35" s="260"/>
      <c r="G35" s="260"/>
      <c r="H35" s="260"/>
      <c r="I35" s="43"/>
    </row>
    <row r="36" spans="2:9" ht="15.75">
      <c r="B36" s="260" t="s">
        <v>149</v>
      </c>
      <c r="C36" s="260"/>
      <c r="D36" s="260"/>
      <c r="E36" s="260"/>
      <c r="F36" s="260"/>
      <c r="G36" s="260"/>
      <c r="H36" s="260"/>
      <c r="I36" s="43"/>
    </row>
    <row r="37" spans="2:9">
      <c r="B37" s="37"/>
      <c r="C37" s="4">
        <v>2025</v>
      </c>
      <c r="E37" s="4">
        <v>2024</v>
      </c>
      <c r="G37" s="4">
        <v>2023</v>
      </c>
      <c r="I37" s="43"/>
    </row>
    <row r="38" spans="2:9">
      <c r="B38" s="37"/>
      <c r="C38" s="4" t="s">
        <v>3</v>
      </c>
      <c r="E38" s="4" t="s">
        <v>3</v>
      </c>
      <c r="G38" s="4" t="s">
        <v>3</v>
      </c>
      <c r="I38" s="43"/>
    </row>
    <row r="39" spans="2:9">
      <c r="B39" s="10" t="s">
        <v>142</v>
      </c>
      <c r="C39" s="38">
        <f>+E43</f>
        <v>135.16000000000167</v>
      </c>
      <c r="D39" s="1"/>
      <c r="E39" s="38">
        <v>10979.19</v>
      </c>
      <c r="F39" s="1"/>
      <c r="G39" s="38">
        <v>17420.310000000001</v>
      </c>
      <c r="H39" s="1"/>
      <c r="I39" s="43"/>
    </row>
    <row r="40" spans="2:9">
      <c r="B40" s="10" t="s">
        <v>143</v>
      </c>
      <c r="C40" s="20">
        <f>E42</f>
        <v>0</v>
      </c>
      <c r="D40" s="1"/>
      <c r="E40" s="20">
        <f>G42</f>
        <v>0</v>
      </c>
      <c r="F40" s="1"/>
      <c r="G40" s="20">
        <v>0</v>
      </c>
      <c r="H40" s="1"/>
      <c r="I40" s="43"/>
    </row>
    <row r="41" spans="2:9">
      <c r="B41" s="10" t="s">
        <v>158</v>
      </c>
      <c r="C41" s="38">
        <f>'CAP Job Club Receipts and Paym'!C37</f>
        <v>-135.16</v>
      </c>
      <c r="D41" s="1"/>
      <c r="E41" s="38">
        <f>'CAP Job Club Receipts and Paym'!E37</f>
        <v>-10844.029999999999</v>
      </c>
      <c r="F41" s="1"/>
      <c r="G41" s="38">
        <v>-6377.08</v>
      </c>
      <c r="H41" s="1"/>
      <c r="I41" s="43"/>
    </row>
    <row r="42" spans="2:9">
      <c r="B42" s="10" t="s">
        <v>159</v>
      </c>
      <c r="C42" s="1">
        <v>0</v>
      </c>
      <c r="D42" s="1"/>
      <c r="E42" s="1">
        <v>0</v>
      </c>
      <c r="F42" s="1"/>
      <c r="G42" s="1">
        <v>0</v>
      </c>
      <c r="H42" s="1"/>
      <c r="I42" s="43"/>
    </row>
    <row r="43" spans="2:9">
      <c r="B43" s="15" t="s">
        <v>146</v>
      </c>
      <c r="C43" s="39">
        <f>SUM(C39:C42)</f>
        <v>1.6768808563938364E-12</v>
      </c>
      <c r="D43" s="39"/>
      <c r="E43" s="39">
        <f>SUM(E39:E42)</f>
        <v>135.16000000000167</v>
      </c>
      <c r="F43" s="39"/>
      <c r="G43" s="39">
        <f>G39+G41</f>
        <v>11043.230000000001</v>
      </c>
      <c r="H43" s="39"/>
      <c r="I43" s="43"/>
    </row>
    <row r="44" spans="2:9">
      <c r="B44" s="40"/>
      <c r="C44" s="41"/>
      <c r="D44" s="41"/>
      <c r="E44" s="41"/>
      <c r="F44" s="41"/>
      <c r="G44" s="41"/>
      <c r="H44" s="41"/>
      <c r="I44" s="45"/>
    </row>
    <row r="45" spans="2:9">
      <c r="B45" s="10"/>
    </row>
    <row r="48" spans="2:9" ht="11.25" customHeight="1"/>
    <row r="49" ht="15" customHeight="1"/>
    <row r="50" ht="21" customHeight="1"/>
    <row r="60" ht="11.25" customHeight="1"/>
    <row r="61" ht="15" customHeight="1"/>
    <row r="72" ht="11.25" customHeight="1"/>
  </sheetData>
  <mergeCells count="9">
    <mergeCell ref="B16:H16"/>
    <mergeCell ref="B34:H34"/>
    <mergeCell ref="B35:H35"/>
    <mergeCell ref="B36:H36"/>
    <mergeCell ref="B1:H1"/>
    <mergeCell ref="B2:H2"/>
    <mergeCell ref="B4:H4"/>
    <mergeCell ref="B14:H14"/>
    <mergeCell ref="B15:H15"/>
  </mergeCells>
  <pageMargins left="1.25984251968504" right="0.70866141732283505" top="0.46" bottom="0.36" header="0.31496062992126" footer="0.31496062992126"/>
  <pageSetup paperSize="9" scale="7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7"/>
  <sheetViews>
    <sheetView workbookViewId="0">
      <selection activeCell="D10" sqref="D10:D13"/>
    </sheetView>
  </sheetViews>
  <sheetFormatPr defaultColWidth="9" defaultRowHeight="15"/>
  <cols>
    <col min="1" max="1" width="6.5703125" customWidth="1"/>
    <col min="2" max="2" width="13.85546875" customWidth="1"/>
    <col min="3" max="3" width="46.28515625" customWidth="1"/>
    <col min="4" max="4" width="13.7109375" customWidth="1"/>
    <col min="5" max="5" width="2.5703125" customWidth="1"/>
    <col min="6" max="6" width="13.7109375" customWidth="1"/>
    <col min="7" max="7" width="2.5703125" customWidth="1"/>
    <col min="8" max="8" width="9.140625" customWidth="1"/>
    <col min="9" max="9" width="2.5703125" customWidth="1"/>
  </cols>
  <sheetData>
    <row r="1" spans="1:9" ht="29.25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</row>
    <row r="2" spans="1:9" ht="18">
      <c r="A2" s="265" t="s">
        <v>160</v>
      </c>
      <c r="B2" s="265"/>
      <c r="C2" s="265"/>
      <c r="D2" s="265"/>
      <c r="E2" s="265"/>
      <c r="F2" s="265"/>
      <c r="G2" s="265"/>
      <c r="H2" s="265"/>
      <c r="I2" s="265"/>
    </row>
    <row r="3" spans="1:9" ht="18">
      <c r="A3" s="266" t="s">
        <v>2</v>
      </c>
      <c r="B3" s="265"/>
      <c r="C3" s="265"/>
      <c r="D3" s="265"/>
      <c r="E3" s="265"/>
      <c r="F3" s="265"/>
      <c r="G3" s="265"/>
      <c r="H3" s="265"/>
      <c r="I3" s="265"/>
    </row>
    <row r="4" spans="1:9" ht="24.75" customHeight="1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2">
        <v>2025</v>
      </c>
      <c r="E5" s="1"/>
      <c r="F5" s="2">
        <v>2024</v>
      </c>
      <c r="G5" s="1"/>
      <c r="H5" s="2">
        <v>2023</v>
      </c>
      <c r="I5" s="1"/>
    </row>
    <row r="6" spans="1:9">
      <c r="A6" s="1"/>
      <c r="B6" s="1"/>
      <c r="C6" s="3"/>
      <c r="D6" s="4" t="s">
        <v>3</v>
      </c>
      <c r="E6" s="3"/>
      <c r="F6" s="4" t="s">
        <v>3</v>
      </c>
      <c r="G6" s="3"/>
      <c r="H6" s="4" t="s">
        <v>3</v>
      </c>
      <c r="I6" s="3"/>
    </row>
    <row r="7" spans="1:9" ht="15.75">
      <c r="A7" s="5" t="s">
        <v>161</v>
      </c>
      <c r="B7" s="1"/>
      <c r="C7" s="3"/>
      <c r="D7" s="3"/>
      <c r="E7" s="3"/>
      <c r="F7" s="3"/>
      <c r="G7" s="3"/>
      <c r="H7" s="3"/>
      <c r="I7" s="3"/>
    </row>
    <row r="8" spans="1:9">
      <c r="A8" s="1"/>
      <c r="B8" s="1"/>
      <c r="C8" s="3"/>
      <c r="D8" s="3"/>
      <c r="E8" s="3"/>
      <c r="F8" s="3"/>
      <c r="G8" s="3"/>
      <c r="H8" s="3"/>
      <c r="I8" s="3"/>
    </row>
    <row r="9" spans="1:9">
      <c r="A9" s="1" t="s">
        <v>162</v>
      </c>
      <c r="B9" s="1"/>
      <c r="C9" s="3"/>
      <c r="D9" s="3"/>
      <c r="E9" s="3"/>
      <c r="F9" s="3"/>
      <c r="G9" s="3"/>
      <c r="H9" s="3"/>
      <c r="I9" s="3"/>
    </row>
    <row r="10" spans="1:9">
      <c r="A10" s="1"/>
      <c r="B10" s="1" t="s">
        <v>163</v>
      </c>
      <c r="C10" s="3" t="s">
        <v>164</v>
      </c>
      <c r="D10" s="3">
        <v>9043.2999999999993</v>
      </c>
      <c r="E10" s="3"/>
      <c r="F10" s="6">
        <v>8651.76</v>
      </c>
      <c r="G10" s="3"/>
      <c r="H10" s="6">
        <v>7960.56</v>
      </c>
      <c r="I10" s="3"/>
    </row>
    <row r="11" spans="1:9">
      <c r="A11" s="1"/>
      <c r="B11" s="1"/>
      <c r="C11" s="3"/>
      <c r="D11" s="3"/>
      <c r="E11" s="3"/>
      <c r="F11" s="3"/>
      <c r="G11" s="3"/>
      <c r="H11" s="3"/>
      <c r="I11" s="3"/>
    </row>
    <row r="12" spans="1:9">
      <c r="A12" s="1" t="s">
        <v>165</v>
      </c>
      <c r="B12" s="1"/>
      <c r="C12" s="3"/>
      <c r="D12" s="3"/>
      <c r="E12" s="3"/>
      <c r="F12" s="3"/>
      <c r="G12" s="3"/>
      <c r="H12" s="3"/>
      <c r="I12" s="3"/>
    </row>
    <row r="13" spans="1:9">
      <c r="A13" s="7"/>
      <c r="B13" s="1" t="s">
        <v>166</v>
      </c>
      <c r="C13" s="3" t="s">
        <v>167</v>
      </c>
      <c r="D13" s="3">
        <v>1804.21</v>
      </c>
      <c r="E13" s="3"/>
      <c r="F13" s="6">
        <v>1761.11</v>
      </c>
      <c r="G13" s="3"/>
      <c r="H13" s="6">
        <v>1613.36</v>
      </c>
      <c r="I13" s="3"/>
    </row>
    <row r="14" spans="1:9" ht="21.75" customHeight="1">
      <c r="A14" s="1"/>
      <c r="B14" s="1"/>
      <c r="C14" s="3"/>
      <c r="D14" s="8">
        <f>SUM(D10:D13)</f>
        <v>10847.51</v>
      </c>
      <c r="E14" s="3"/>
      <c r="F14" s="8">
        <f>SUM(F10:F13)</f>
        <v>10412.870000000001</v>
      </c>
      <c r="G14" s="3"/>
      <c r="H14" s="8">
        <f>SUM(H10:H13)</f>
        <v>9573.92</v>
      </c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</sheetData>
  <mergeCells count="3">
    <mergeCell ref="A1:I1"/>
    <mergeCell ref="A2:I2"/>
    <mergeCell ref="A3:I3"/>
  </mergeCells>
  <pageMargins left="1.1499999999999999" right="0.66" top="0.74803149606299202" bottom="0.74803149606299202" header="0.31496062992126" footer="0.31496062992126"/>
  <pageSetup paperSize="9" scale="8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Funds General Summary</vt:lpstr>
      <vt:lpstr>Church Receipts and Payments</vt:lpstr>
      <vt:lpstr>CAP Job Club Receipts and Paym</vt:lpstr>
      <vt:lpstr>Balance Sheet</vt:lpstr>
      <vt:lpstr>Church Investments</vt:lpstr>
      <vt:lpstr>'Balance Sheet'!Print_Area</vt:lpstr>
      <vt:lpstr>'CAP Job Club Receipts and Paym'!Print_Area</vt:lpstr>
      <vt:lpstr>'Church Receipts and Payments'!Print_Area</vt:lpstr>
      <vt:lpstr>'Funds General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Steph Mawhinney</cp:lastModifiedBy>
  <cp:lastPrinted>2025-05-21T15:17:00Z</cp:lastPrinted>
  <dcterms:created xsi:type="dcterms:W3CDTF">2014-01-14T13:41:00Z</dcterms:created>
  <dcterms:modified xsi:type="dcterms:W3CDTF">2026-03-24T11:41:23Z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F4F2E3A82B3F4FC99A4470DF11CCE0D3_13</vt:lpwstr>
  </property>
  <property fmtid="{D5CDD505-2E9C-101B-9397-08002B2CF9AE}" pid="3" name="KSOProductBuildVer">
    <vt:lpwstr>1033-12.2.0.22549</vt:lpwstr>
  </property>
</Properties>
</file>